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02\Desktop\isis\"/>
    </mc:Choice>
  </mc:AlternateContent>
  <bookViews>
    <workbookView xWindow="0" yWindow="0" windowWidth="20490" windowHeight="7350" tabRatio="919" firstSheet="9" activeTab="15"/>
  </bookViews>
  <sheets>
    <sheet name="Indice" sheetId="85" state="hidden" r:id="rId1"/>
    <sheet name="IG-1-2ifs" sheetId="90" state="hidden" r:id="rId2"/>
    <sheet name="IG-2." sheetId="181" r:id="rId3"/>
    <sheet name="IG-2 MOB." sheetId="180" r:id="rId4"/>
    <sheet name="IG-2. PARQUE " sheetId="186" r:id="rId5"/>
    <sheet name="IG-2. MAQ. EQ. ELEC." sheetId="187" r:id="rId6"/>
    <sheet name="IG-2 B INF." sheetId="183" r:id="rId7"/>
    <sheet name="IG-2 I. MED.  Y LAB." sheetId="188" r:id="rId8"/>
    <sheet name="IG-2 edu. recreativo" sheetId="189" r:id="rId9"/>
    <sheet name="IG-2. EQ. DE COCINA" sheetId="195" r:id="rId10"/>
    <sheet name="IG-2 Eq. de admon" sheetId="190" r:id="rId11"/>
    <sheet name="IG-2 Maq. Equip. industrial" sheetId="191" r:id="rId12"/>
    <sheet name="IG-2 herra maq. de herra" sheetId="192" r:id="rId13"/>
    <sheet name="IG-2 Maq y eq. div." sheetId="193" r:id="rId14"/>
    <sheet name="IG-2 com. y tel " sheetId="194" r:id="rId15"/>
    <sheet name="IG-2. (2)" sheetId="184" r:id="rId16"/>
  </sheets>
  <definedNames>
    <definedName name="_Toc276045272" localSheetId="6">'IG-2 B INF.'!#REF!</definedName>
    <definedName name="_Toc276045272" localSheetId="14">'IG-2 com. y tel '!#REF!</definedName>
    <definedName name="_Toc276045272" localSheetId="8">'IG-2 edu. recreativo'!#REF!</definedName>
    <definedName name="_Toc276045272" localSheetId="10">'IG-2 Eq. de admon'!#REF!</definedName>
    <definedName name="_Toc276045272" localSheetId="12">'IG-2 herra maq. de herra'!#REF!</definedName>
    <definedName name="_Toc276045272" localSheetId="7">'IG-2 I. MED.  Y LAB.'!#REF!</definedName>
    <definedName name="_Toc276045272" localSheetId="13">'IG-2 Maq y eq. div.'!#REF!</definedName>
    <definedName name="_Toc276045272" localSheetId="11">'IG-2 Maq. Equip. industrial'!#REF!</definedName>
    <definedName name="_Toc276045272" localSheetId="3">'IG-2 MOB.'!#REF!</definedName>
    <definedName name="_Toc276045272" localSheetId="2">'IG-2.'!#REF!</definedName>
    <definedName name="_Toc276045272" localSheetId="15">'IG-2. (2)'!#REF!</definedName>
    <definedName name="_Toc276045272" localSheetId="9">'IG-2. EQ. DE COCINA'!#REF!</definedName>
    <definedName name="_Toc276045272" localSheetId="5">'IG-2. MAQ. EQ. ELEC.'!#REF!</definedName>
    <definedName name="_Toc276045272" localSheetId="4">'IG-2. PARQUE '!#REF!</definedName>
    <definedName name="_Toc276045273" localSheetId="6">'IG-2 B INF.'!#REF!</definedName>
    <definedName name="_Toc276045273" localSheetId="14">'IG-2 com. y tel '!#REF!</definedName>
    <definedName name="_Toc276045273" localSheetId="8">'IG-2 edu. recreativo'!#REF!</definedName>
    <definedName name="_Toc276045273" localSheetId="10">'IG-2 Eq. de admon'!#REF!</definedName>
    <definedName name="_Toc276045273" localSheetId="12">'IG-2 herra maq. de herra'!#REF!</definedName>
    <definedName name="_Toc276045273" localSheetId="7">'IG-2 I. MED.  Y LAB.'!#REF!</definedName>
    <definedName name="_Toc276045273" localSheetId="13">'IG-2 Maq y eq. div.'!#REF!</definedName>
    <definedName name="_Toc276045273" localSheetId="11">'IG-2 Maq. Equip. industrial'!#REF!</definedName>
    <definedName name="_Toc276045273" localSheetId="3">'IG-2 MOB.'!#REF!</definedName>
    <definedName name="_Toc276045273" localSheetId="2">'IG-2.'!#REF!</definedName>
    <definedName name="_Toc276045273" localSheetId="15">'IG-2. (2)'!#REF!</definedName>
    <definedName name="_Toc276045273" localSheetId="9">'IG-2. EQ. DE COCINA'!#REF!</definedName>
    <definedName name="_Toc276045273" localSheetId="5">'IG-2. MAQ. EQ. ELEC.'!#REF!</definedName>
    <definedName name="_Toc276045273" localSheetId="4">'IG-2. PARQUE '!#REF!</definedName>
    <definedName name="_Toc276045274" localSheetId="6">'IG-2 B INF.'!#REF!</definedName>
    <definedName name="_Toc276045274" localSheetId="14">'IG-2 com. y tel '!#REF!</definedName>
    <definedName name="_Toc276045274" localSheetId="8">'IG-2 edu. recreativo'!#REF!</definedName>
    <definedName name="_Toc276045274" localSheetId="10">'IG-2 Eq. de admon'!#REF!</definedName>
    <definedName name="_Toc276045274" localSheetId="12">'IG-2 herra maq. de herra'!#REF!</definedName>
    <definedName name="_Toc276045274" localSheetId="7">'IG-2 I. MED.  Y LAB.'!#REF!</definedName>
    <definedName name="_Toc276045274" localSheetId="13">'IG-2 Maq y eq. div.'!#REF!</definedName>
    <definedName name="_Toc276045274" localSheetId="11">'IG-2 Maq. Equip. industrial'!#REF!</definedName>
    <definedName name="_Toc276045274" localSheetId="3">'IG-2 MOB.'!#REF!</definedName>
    <definedName name="_Toc276045274" localSheetId="2">'IG-2.'!#REF!</definedName>
    <definedName name="_Toc276045274" localSheetId="15">'IG-2. (2)'!#REF!</definedName>
    <definedName name="_Toc276045274" localSheetId="9">'IG-2. EQ. DE COCINA'!#REF!</definedName>
    <definedName name="_Toc276045274" localSheetId="5">'IG-2. MAQ. EQ. ELEC.'!#REF!</definedName>
    <definedName name="_Toc276045274" localSheetId="4">'IG-2. PARQUE '!#REF!</definedName>
    <definedName name="_Toc276045275" localSheetId="6">'IG-2 B INF.'!#REF!</definedName>
    <definedName name="_Toc276045275" localSheetId="14">'IG-2 com. y tel '!#REF!</definedName>
    <definedName name="_Toc276045275" localSheetId="8">'IG-2 edu. recreativo'!#REF!</definedName>
    <definedName name="_Toc276045275" localSheetId="10">'IG-2 Eq. de admon'!#REF!</definedName>
    <definedName name="_Toc276045275" localSheetId="12">'IG-2 herra maq. de herra'!#REF!</definedName>
    <definedName name="_Toc276045275" localSheetId="7">'IG-2 I. MED.  Y LAB.'!#REF!</definedName>
    <definedName name="_Toc276045275" localSheetId="13">'IG-2 Maq y eq. div.'!#REF!</definedName>
    <definedName name="_Toc276045275" localSheetId="11">'IG-2 Maq. Equip. industrial'!#REF!</definedName>
    <definedName name="_Toc276045275" localSheetId="3">'IG-2 MOB.'!#REF!</definedName>
    <definedName name="_Toc276045275" localSheetId="2">'IG-2.'!#REF!</definedName>
    <definedName name="_Toc276045275" localSheetId="15">'IG-2. (2)'!#REF!</definedName>
    <definedName name="_Toc276045275" localSheetId="9">'IG-2. EQ. DE COCINA'!#REF!</definedName>
    <definedName name="_Toc276045275" localSheetId="5">'IG-2. MAQ. EQ. ELEC.'!#REF!</definedName>
    <definedName name="_Toc276045275" localSheetId="4">'IG-2. PARQUE '!#REF!</definedName>
    <definedName name="_Toc276045276" localSheetId="6">'IG-2 B INF.'!#REF!</definedName>
    <definedName name="_Toc276045276" localSheetId="14">'IG-2 com. y tel '!#REF!</definedName>
    <definedName name="_Toc276045276" localSheetId="8">'IG-2 edu. recreativo'!#REF!</definedName>
    <definedName name="_Toc276045276" localSheetId="10">'IG-2 Eq. de admon'!#REF!</definedName>
    <definedName name="_Toc276045276" localSheetId="12">'IG-2 herra maq. de herra'!#REF!</definedName>
    <definedName name="_Toc276045276" localSheetId="7">'IG-2 I. MED.  Y LAB.'!#REF!</definedName>
    <definedName name="_Toc276045276" localSheetId="13">'IG-2 Maq y eq. div.'!#REF!</definedName>
    <definedName name="_Toc276045276" localSheetId="11">'IG-2 Maq. Equip. industrial'!#REF!</definedName>
    <definedName name="_Toc276045276" localSheetId="3">'IG-2 MOB.'!#REF!</definedName>
    <definedName name="_Toc276045276" localSheetId="2">'IG-2.'!#REF!</definedName>
    <definedName name="_Toc276045276" localSheetId="15">'IG-2. (2)'!#REF!</definedName>
    <definedName name="_Toc276045276" localSheetId="9">'IG-2. EQ. DE COCINA'!#REF!</definedName>
    <definedName name="_Toc276045276" localSheetId="5">'IG-2. MAQ. EQ. ELEC.'!#REF!</definedName>
    <definedName name="_Toc276045276" localSheetId="4">'IG-2. PARQUE '!#REF!</definedName>
    <definedName name="_Toc276045277" localSheetId="6">'IG-2 B INF.'!#REF!</definedName>
    <definedName name="_Toc276045277" localSheetId="14">'IG-2 com. y tel '!#REF!</definedName>
    <definedName name="_Toc276045277" localSheetId="8">'IG-2 edu. recreativo'!#REF!</definedName>
    <definedName name="_Toc276045277" localSheetId="10">'IG-2 Eq. de admon'!#REF!</definedName>
    <definedName name="_Toc276045277" localSheetId="12">'IG-2 herra maq. de herra'!#REF!</definedName>
    <definedName name="_Toc276045277" localSheetId="7">'IG-2 I. MED.  Y LAB.'!#REF!</definedName>
    <definedName name="_Toc276045277" localSheetId="13">'IG-2 Maq y eq. div.'!#REF!</definedName>
    <definedName name="_Toc276045277" localSheetId="11">'IG-2 Maq. Equip. industrial'!#REF!</definedName>
    <definedName name="_Toc276045277" localSheetId="3">'IG-2 MOB.'!#REF!</definedName>
    <definedName name="_Toc276045277" localSheetId="2">'IG-2.'!#REF!</definedName>
    <definedName name="_Toc276045277" localSheetId="15">'IG-2. (2)'!#REF!</definedName>
    <definedName name="_Toc276045277" localSheetId="9">'IG-2. EQ. DE COCINA'!#REF!</definedName>
    <definedName name="_Toc276045277" localSheetId="5">'IG-2. MAQ. EQ. ELEC.'!#REF!</definedName>
    <definedName name="_Toc276045277" localSheetId="4">'IG-2. PARQUE '!#REF!</definedName>
    <definedName name="_Toc276045278" localSheetId="6">'IG-2 B INF.'!#REF!</definedName>
    <definedName name="_Toc276045278" localSheetId="14">'IG-2 com. y tel '!#REF!</definedName>
    <definedName name="_Toc276045278" localSheetId="8">'IG-2 edu. recreativo'!#REF!</definedName>
    <definedName name="_Toc276045278" localSheetId="10">'IG-2 Eq. de admon'!#REF!</definedName>
    <definedName name="_Toc276045278" localSheetId="12">'IG-2 herra maq. de herra'!#REF!</definedName>
    <definedName name="_Toc276045278" localSheetId="7">'IG-2 I. MED.  Y LAB.'!#REF!</definedName>
    <definedName name="_Toc276045278" localSheetId="13">'IG-2 Maq y eq. div.'!#REF!</definedName>
    <definedName name="_Toc276045278" localSheetId="11">'IG-2 Maq. Equip. industrial'!#REF!</definedName>
    <definedName name="_Toc276045278" localSheetId="3">'IG-2 MOB.'!#REF!</definedName>
    <definedName name="_Toc276045278" localSheetId="2">'IG-2.'!#REF!</definedName>
    <definedName name="_Toc276045278" localSheetId="15">'IG-2. (2)'!#REF!</definedName>
    <definedName name="_Toc276045278" localSheetId="9">'IG-2. EQ. DE COCINA'!#REF!</definedName>
    <definedName name="_Toc276045278" localSheetId="5">'IG-2. MAQ. EQ. ELEC.'!#REF!</definedName>
    <definedName name="_Toc276045278" localSheetId="4">'IG-2. PARQUE '!#REF!</definedName>
    <definedName name="_Toc276045279" localSheetId="6">'IG-2 B INF.'!#REF!</definedName>
    <definedName name="_Toc276045279" localSheetId="14">'IG-2 com. y tel '!#REF!</definedName>
    <definedName name="_Toc276045279" localSheetId="8">'IG-2 edu. recreativo'!#REF!</definedName>
    <definedName name="_Toc276045279" localSheetId="10">'IG-2 Eq. de admon'!#REF!</definedName>
    <definedName name="_Toc276045279" localSheetId="12">'IG-2 herra maq. de herra'!#REF!</definedName>
    <definedName name="_Toc276045279" localSheetId="7">'IG-2 I. MED.  Y LAB.'!#REF!</definedName>
    <definedName name="_Toc276045279" localSheetId="13">'IG-2 Maq y eq. div.'!#REF!</definedName>
    <definedName name="_Toc276045279" localSheetId="11">'IG-2 Maq. Equip. industrial'!#REF!</definedName>
    <definedName name="_Toc276045279" localSheetId="3">'IG-2 MOB.'!#REF!</definedName>
    <definedName name="_Toc276045279" localSheetId="2">'IG-2.'!#REF!</definedName>
    <definedName name="_Toc276045279" localSheetId="15">'IG-2. (2)'!#REF!</definedName>
    <definedName name="_Toc276045279" localSheetId="9">'IG-2. EQ. DE COCINA'!#REF!</definedName>
    <definedName name="_Toc276045279" localSheetId="5">'IG-2. MAQ. EQ. ELEC.'!#REF!</definedName>
    <definedName name="_Toc276045279" localSheetId="4">'IG-2. PARQUE '!#REF!</definedName>
    <definedName name="_Toc276045280" localSheetId="6">'IG-2 B INF.'!#REF!</definedName>
    <definedName name="_Toc276045280" localSheetId="14">'IG-2 com. y tel '!#REF!</definedName>
    <definedName name="_Toc276045280" localSheetId="8">'IG-2 edu. recreativo'!#REF!</definedName>
    <definedName name="_Toc276045280" localSheetId="10">'IG-2 Eq. de admon'!#REF!</definedName>
    <definedName name="_Toc276045280" localSheetId="12">'IG-2 herra maq. de herra'!#REF!</definedName>
    <definedName name="_Toc276045280" localSheetId="7">'IG-2 I. MED.  Y LAB.'!#REF!</definedName>
    <definedName name="_Toc276045280" localSheetId="13">'IG-2 Maq y eq. div.'!#REF!</definedName>
    <definedName name="_Toc276045280" localSheetId="11">'IG-2 Maq. Equip. industrial'!#REF!</definedName>
    <definedName name="_Toc276045280" localSheetId="3">'IG-2 MOB.'!#REF!</definedName>
    <definedName name="_Toc276045280" localSheetId="2">'IG-2.'!#REF!</definedName>
    <definedName name="_Toc276045280" localSheetId="15">'IG-2. (2)'!#REF!</definedName>
    <definedName name="_Toc276045280" localSheetId="9">'IG-2. EQ. DE COCINA'!#REF!</definedName>
    <definedName name="_Toc276045280" localSheetId="5">'IG-2. MAQ. EQ. ELEC.'!#REF!</definedName>
    <definedName name="_Toc276045280" localSheetId="4">'IG-2. PARQUE '!#REF!</definedName>
    <definedName name="_xlnm.Print_Area" localSheetId="6">'IG-2 B INF.'!$A$1:$D$718</definedName>
    <definedName name="_xlnm.Print_Area" localSheetId="14">'IG-2 com. y tel '!$A$1:$E$138</definedName>
    <definedName name="_xlnm.Print_Area" localSheetId="8">'IG-2 edu. recreativo'!$A$1:$C$1936</definedName>
    <definedName name="_xlnm.Print_Area" localSheetId="10">'IG-2 Eq. de admon'!$A$1:$D$71</definedName>
    <definedName name="_xlnm.Print_Area" localSheetId="12">'IG-2 herra maq. de herra'!$A$1:$D$522</definedName>
    <definedName name="_xlnm.Print_Area" localSheetId="7">'IG-2 I. MED.  Y LAB.'!$A$1:$E$78</definedName>
    <definedName name="_xlnm.Print_Area" localSheetId="13">'IG-2 Maq y eq. div.'!$A$1:$D$90</definedName>
    <definedName name="_xlnm.Print_Area" localSheetId="11">'IG-2 Maq. Equip. industrial'!$A$1:$E$136</definedName>
    <definedName name="_xlnm.Print_Area" localSheetId="3">'IG-2 MOB.'!$A$1:$D$2163</definedName>
    <definedName name="_xlnm.Print_Area" localSheetId="9">'IG-2. EQ. DE COCINA'!$A$1:$E$413</definedName>
    <definedName name="_xlnm.Print_Area" localSheetId="5">'IG-2. MAQ. EQ. ELEC.'!$A$1:$D$28</definedName>
    <definedName name="_xlnm.Print_Area" localSheetId="4">'IG-2. PARQUE '!$A$1:$D$30</definedName>
  </definedNames>
  <calcPr calcId="152511"/>
</workbook>
</file>

<file path=xl/calcChain.xml><?xml version="1.0" encoding="utf-8"?>
<calcChain xmlns="http://schemas.openxmlformats.org/spreadsheetml/2006/main">
  <c r="C96" i="194" l="1"/>
  <c r="C95" i="194"/>
  <c r="C93" i="194"/>
  <c r="C92" i="194"/>
  <c r="C91" i="194"/>
  <c r="C90" i="194"/>
  <c r="C89" i="194"/>
  <c r="C88" i="194"/>
  <c r="C87" i="194"/>
  <c r="C86" i="194"/>
  <c r="C85" i="194"/>
  <c r="C84" i="194"/>
  <c r="C83" i="194"/>
  <c r="C82" i="194"/>
  <c r="C81" i="194"/>
  <c r="C80" i="194"/>
  <c r="C79" i="194"/>
  <c r="C78" i="194"/>
  <c r="C77" i="194"/>
  <c r="C76" i="194"/>
  <c r="C75" i="194"/>
  <c r="C74" i="194"/>
  <c r="C73" i="194"/>
  <c r="C72" i="194"/>
  <c r="C71" i="194"/>
  <c r="C70" i="194"/>
  <c r="C69" i="194"/>
  <c r="C68" i="194"/>
  <c r="C67" i="194"/>
  <c r="C66" i="194"/>
  <c r="C65" i="194"/>
  <c r="C64" i="194"/>
  <c r="C63" i="194"/>
  <c r="C62" i="194"/>
  <c r="C61" i="194"/>
  <c r="C60" i="194"/>
  <c r="C59" i="194"/>
  <c r="C58" i="194"/>
  <c r="C57" i="194"/>
  <c r="C56" i="194"/>
  <c r="C55" i="194"/>
  <c r="C54" i="194"/>
  <c r="C53" i="194"/>
  <c r="C52" i="194"/>
  <c r="C51" i="194"/>
  <c r="C50" i="194"/>
  <c r="C49" i="194"/>
  <c r="C47" i="194"/>
  <c r="C46" i="194"/>
  <c r="C45" i="194"/>
  <c r="C44" i="194"/>
  <c r="C43" i="194"/>
  <c r="C42" i="194"/>
  <c r="C41" i="194"/>
  <c r="C40" i="194"/>
  <c r="C39" i="194"/>
  <c r="C38" i="194"/>
  <c r="C37" i="194"/>
  <c r="C36" i="194"/>
  <c r="C35" i="194"/>
  <c r="C34" i="194"/>
  <c r="C33" i="194"/>
  <c r="C32" i="194"/>
  <c r="C31" i="194"/>
  <c r="C30" i="194"/>
  <c r="C29" i="194"/>
  <c r="C28" i="194"/>
  <c r="C27" i="194"/>
  <c r="C26" i="194"/>
  <c r="C25" i="194"/>
  <c r="C24" i="194"/>
  <c r="C23" i="194"/>
  <c r="C22" i="194"/>
  <c r="C21" i="194"/>
  <c r="C20" i="194"/>
  <c r="C19" i="194"/>
  <c r="C18" i="194"/>
  <c r="C8" i="194"/>
  <c r="C7" i="194"/>
  <c r="C50" i="193"/>
  <c r="C49" i="193"/>
  <c r="C48" i="193"/>
  <c r="C46" i="193"/>
  <c r="C45" i="193"/>
  <c r="C44" i="193"/>
  <c r="C43" i="193"/>
  <c r="C42" i="193"/>
  <c r="C41" i="193"/>
  <c r="C40" i="193"/>
  <c r="C39" i="193"/>
  <c r="C38" i="193"/>
  <c r="C37" i="193"/>
  <c r="C36" i="193"/>
  <c r="C35" i="193"/>
  <c r="C34" i="193"/>
  <c r="C33" i="193"/>
  <c r="C7" i="192"/>
  <c r="C505" i="192"/>
  <c r="C504" i="192"/>
  <c r="C480" i="192"/>
  <c r="C475" i="192"/>
  <c r="C474" i="192"/>
  <c r="C473" i="192"/>
  <c r="C472" i="192"/>
  <c r="C471" i="192"/>
  <c r="C470" i="192"/>
  <c r="C469" i="192"/>
  <c r="C468" i="192"/>
  <c r="C467" i="192"/>
  <c r="C466" i="192"/>
  <c r="C465" i="192"/>
  <c r="C464" i="192"/>
  <c r="C463" i="192"/>
  <c r="C462" i="192"/>
  <c r="C461" i="192"/>
  <c r="C460" i="192"/>
  <c r="C459" i="192"/>
  <c r="C458" i="192"/>
  <c r="C457" i="192"/>
  <c r="C456" i="192"/>
  <c r="C455" i="192"/>
  <c r="C454" i="192"/>
  <c r="C453" i="192"/>
  <c r="C452" i="192"/>
  <c r="C451" i="192"/>
  <c r="C450" i="192"/>
  <c r="C449" i="192"/>
  <c r="C448" i="192"/>
  <c r="C447" i="192"/>
  <c r="C446" i="192"/>
  <c r="C445" i="192"/>
  <c r="C444" i="192"/>
  <c r="C443" i="192"/>
  <c r="C442" i="192"/>
  <c r="C441" i="192"/>
  <c r="C440" i="192"/>
  <c r="C439" i="192"/>
  <c r="C438" i="192"/>
  <c r="C437" i="192"/>
  <c r="C436" i="192"/>
  <c r="C435" i="192"/>
  <c r="C434" i="192"/>
  <c r="C433" i="192"/>
  <c r="C432" i="192"/>
  <c r="C431" i="192"/>
  <c r="C430" i="192"/>
  <c r="C429" i="192"/>
  <c r="C428" i="192"/>
  <c r="C427" i="192"/>
  <c r="C426" i="192"/>
  <c r="C425" i="192"/>
  <c r="C424" i="192"/>
  <c r="C423" i="192"/>
  <c r="C422" i="192"/>
  <c r="C421" i="192"/>
  <c r="C420" i="192"/>
  <c r="C419" i="192"/>
  <c r="C418" i="192"/>
  <c r="C417" i="192"/>
  <c r="C416" i="192"/>
  <c r="C415" i="192"/>
  <c r="C414" i="192"/>
  <c r="C413" i="192"/>
  <c r="C412" i="192"/>
  <c r="C411" i="192"/>
  <c r="C410" i="192"/>
  <c r="C409" i="192"/>
  <c r="C408" i="192"/>
  <c r="C407" i="192"/>
  <c r="C406" i="192"/>
  <c r="C405" i="192"/>
  <c r="C404" i="192"/>
  <c r="C403" i="192"/>
  <c r="C402" i="192"/>
  <c r="C401" i="192"/>
  <c r="C400" i="192"/>
  <c r="C399" i="192"/>
  <c r="C398" i="192"/>
  <c r="C397" i="192"/>
  <c r="C395" i="192"/>
  <c r="C394" i="192"/>
  <c r="C393" i="192"/>
  <c r="C392" i="192"/>
  <c r="C391" i="192"/>
  <c r="C390" i="192"/>
  <c r="C389" i="192"/>
  <c r="C388" i="192"/>
  <c r="C387" i="192"/>
  <c r="C386" i="192"/>
  <c r="C385" i="192"/>
  <c r="C384" i="192"/>
  <c r="C383" i="192"/>
  <c r="C382" i="192"/>
  <c r="C381" i="192"/>
  <c r="C380" i="192"/>
  <c r="C379" i="192"/>
  <c r="C378" i="192"/>
  <c r="C377" i="192"/>
  <c r="C376" i="192"/>
  <c r="C375" i="192"/>
  <c r="C374" i="192"/>
  <c r="C373" i="192"/>
  <c r="C372" i="192"/>
  <c r="C361" i="192"/>
  <c r="C360" i="192"/>
  <c r="C359" i="192"/>
  <c r="C358" i="192"/>
  <c r="C357" i="192"/>
  <c r="C356" i="192"/>
  <c r="C355" i="192"/>
  <c r="C354" i="192"/>
  <c r="C353" i="192"/>
  <c r="C352" i="192"/>
  <c r="C351" i="192"/>
  <c r="C350" i="192"/>
  <c r="C349" i="192"/>
  <c r="C348" i="192"/>
  <c r="C347" i="192"/>
  <c r="C346" i="192"/>
  <c r="C345" i="192"/>
  <c r="C344" i="192"/>
  <c r="C343" i="192"/>
  <c r="C342" i="192"/>
  <c r="C341" i="192"/>
  <c r="C340" i="192"/>
  <c r="C339" i="192"/>
  <c r="C338" i="192"/>
  <c r="C337" i="192"/>
  <c r="C325" i="192"/>
  <c r="C324" i="192"/>
  <c r="C323" i="192"/>
  <c r="C322" i="192"/>
  <c r="C321" i="192"/>
  <c r="C320" i="192"/>
  <c r="C319" i="192"/>
  <c r="C318" i="192"/>
  <c r="C317" i="192"/>
  <c r="C316" i="192"/>
  <c r="C315" i="192"/>
  <c r="C314" i="192"/>
  <c r="C313" i="192"/>
  <c r="C312" i="192"/>
  <c r="C311" i="192"/>
  <c r="C310" i="192"/>
  <c r="C309" i="192"/>
  <c r="C308" i="192"/>
  <c r="C307" i="192"/>
  <c r="C306" i="192"/>
  <c r="C305" i="192"/>
  <c r="C304" i="192"/>
  <c r="C303" i="192"/>
  <c r="C302" i="192"/>
  <c r="C301" i="192"/>
  <c r="C300" i="192"/>
  <c r="C299" i="192"/>
  <c r="C298" i="192"/>
  <c r="C297" i="192"/>
  <c r="C296" i="192"/>
  <c r="C295" i="192"/>
  <c r="C294" i="192"/>
  <c r="C293" i="192"/>
  <c r="C292" i="192"/>
  <c r="C291" i="192"/>
  <c r="C290" i="192"/>
  <c r="C289" i="192"/>
  <c r="C288" i="192"/>
  <c r="C287" i="192"/>
  <c r="C286" i="192"/>
  <c r="C285" i="192"/>
  <c r="C284" i="192"/>
  <c r="C283" i="192"/>
  <c r="C282" i="192"/>
  <c r="C281" i="192"/>
  <c r="C280" i="192"/>
  <c r="C279" i="192"/>
  <c r="C278" i="192"/>
  <c r="C277" i="192"/>
  <c r="C276" i="192"/>
  <c r="C275" i="192"/>
  <c r="C274" i="192"/>
  <c r="C273" i="192"/>
  <c r="C272" i="192"/>
  <c r="C271" i="192"/>
  <c r="C270" i="192"/>
  <c r="C269" i="192"/>
  <c r="C268" i="192"/>
  <c r="C267" i="192"/>
  <c r="C266" i="192"/>
  <c r="C265" i="192"/>
  <c r="C264" i="192"/>
  <c r="C263" i="192"/>
  <c r="C262" i="192"/>
  <c r="C261" i="192"/>
  <c r="C260" i="192"/>
  <c r="C259" i="192"/>
  <c r="C258" i="192"/>
  <c r="C257" i="192"/>
  <c r="C256" i="192"/>
  <c r="C255" i="192"/>
  <c r="C254" i="192"/>
  <c r="C253" i="192"/>
  <c r="C252" i="192"/>
  <c r="C251" i="192"/>
  <c r="C250" i="192"/>
  <c r="C249" i="192"/>
  <c r="C248" i="192"/>
  <c r="C247" i="192"/>
  <c r="C246" i="192"/>
  <c r="C245" i="192"/>
  <c r="C244" i="192"/>
  <c r="C243" i="192"/>
  <c r="C242" i="192"/>
  <c r="C241" i="192"/>
  <c r="C240" i="192"/>
  <c r="C239" i="192"/>
  <c r="C238" i="192"/>
  <c r="C237" i="192"/>
  <c r="C236" i="192"/>
  <c r="C235" i="192"/>
  <c r="C234" i="192"/>
  <c r="C233" i="192"/>
  <c r="C232" i="192"/>
  <c r="C231" i="192"/>
  <c r="C230" i="192"/>
  <c r="C229" i="192"/>
  <c r="C228" i="192"/>
  <c r="C227" i="192"/>
  <c r="C226" i="192"/>
  <c r="C225" i="192"/>
  <c r="C224" i="192"/>
  <c r="C223" i="192"/>
  <c r="C222" i="192"/>
  <c r="C221" i="192"/>
  <c r="C220" i="192"/>
  <c r="C219" i="192"/>
  <c r="C218" i="192"/>
  <c r="C217" i="192"/>
  <c r="C216" i="192"/>
  <c r="C215" i="192"/>
  <c r="C214" i="192"/>
  <c r="C213" i="192"/>
  <c r="C212" i="192"/>
  <c r="C211" i="192"/>
  <c r="C210" i="192"/>
  <c r="C209" i="192"/>
  <c r="C208" i="192"/>
  <c r="C207" i="192"/>
  <c r="C206" i="192"/>
  <c r="C205" i="192"/>
  <c r="C204" i="192"/>
  <c r="C203" i="192"/>
  <c r="C202" i="192"/>
  <c r="C201" i="192"/>
  <c r="C200" i="192"/>
  <c r="C199" i="192"/>
  <c r="C198" i="192"/>
  <c r="C197" i="192"/>
  <c r="C196" i="192"/>
  <c r="C195" i="192"/>
  <c r="C194" i="192"/>
  <c r="C193" i="192"/>
  <c r="C192" i="192"/>
  <c r="C191" i="192"/>
  <c r="C190" i="192"/>
  <c r="C189" i="192"/>
  <c r="C188" i="192"/>
  <c r="C187" i="192"/>
  <c r="C186" i="192"/>
  <c r="C185" i="192"/>
  <c r="C184" i="192"/>
  <c r="C183" i="192"/>
  <c r="C182" i="192"/>
  <c r="C181" i="192"/>
  <c r="C180" i="192"/>
  <c r="C179" i="192"/>
  <c r="C178" i="192"/>
  <c r="C177" i="192"/>
  <c r="C174" i="192"/>
  <c r="C173" i="192"/>
  <c r="C172" i="192"/>
  <c r="C171" i="192"/>
  <c r="C170" i="192"/>
  <c r="C169" i="192"/>
  <c r="C168" i="192"/>
  <c r="C167" i="192"/>
  <c r="C166" i="192"/>
  <c r="C165" i="192"/>
  <c r="C164" i="192"/>
  <c r="C163" i="192"/>
  <c r="C162" i="192"/>
  <c r="C161" i="192"/>
  <c r="C160" i="192"/>
  <c r="C159" i="192"/>
  <c r="C158" i="192"/>
  <c r="C157" i="192"/>
  <c r="C156" i="192"/>
  <c r="C155" i="192"/>
  <c r="C154" i="192"/>
  <c r="C153" i="192"/>
  <c r="C152" i="192"/>
  <c r="C151" i="192"/>
  <c r="C150" i="192"/>
  <c r="C149" i="192"/>
  <c r="C148" i="192"/>
  <c r="C147" i="192"/>
  <c r="C146" i="192"/>
  <c r="C145" i="192"/>
  <c r="C144" i="192"/>
  <c r="C143" i="192"/>
  <c r="C142" i="192"/>
  <c r="C141" i="192"/>
  <c r="C140" i="192"/>
  <c r="C139" i="192"/>
  <c r="C110" i="192"/>
  <c r="C109" i="192"/>
  <c r="C108" i="192"/>
  <c r="C107" i="192"/>
  <c r="C106" i="192"/>
  <c r="C105" i="192"/>
  <c r="C104" i="192"/>
  <c r="C103" i="192"/>
  <c r="C102" i="192"/>
  <c r="C101" i="192"/>
  <c r="C100" i="192"/>
  <c r="C99" i="192"/>
  <c r="C98" i="192"/>
  <c r="C97" i="192"/>
  <c r="C96" i="192"/>
  <c r="C95" i="192"/>
  <c r="C94" i="192"/>
  <c r="C93" i="192"/>
  <c r="C92" i="192"/>
  <c r="C91" i="192"/>
  <c r="C90" i="192"/>
  <c r="C89" i="192"/>
  <c r="C88" i="192"/>
  <c r="C87" i="192"/>
  <c r="C86" i="192"/>
  <c r="C85" i="192"/>
  <c r="C68" i="192"/>
  <c r="C60" i="192"/>
  <c r="C59" i="192"/>
  <c r="C58" i="192"/>
  <c r="C57" i="192"/>
  <c r="C55" i="192"/>
  <c r="C54" i="192"/>
  <c r="C53" i="192"/>
  <c r="C52" i="192"/>
  <c r="C30" i="192"/>
  <c r="C29" i="192"/>
  <c r="C28" i="192"/>
  <c r="C27" i="192"/>
  <c r="C26" i="192"/>
  <c r="C25" i="192"/>
  <c r="C24" i="192"/>
  <c r="C23" i="192"/>
  <c r="C22" i="192"/>
  <c r="C21" i="192"/>
  <c r="C20" i="192"/>
  <c r="C19" i="192"/>
  <c r="C18" i="192"/>
  <c r="C17" i="192"/>
  <c r="C16" i="192"/>
  <c r="C15" i="192"/>
  <c r="C14" i="192"/>
  <c r="C13" i="192"/>
  <c r="C12" i="192"/>
  <c r="C11" i="192"/>
  <c r="C10" i="192"/>
  <c r="C9" i="192"/>
  <c r="C8" i="192"/>
  <c r="C84" i="191"/>
  <c r="C83" i="191"/>
  <c r="C82" i="191"/>
  <c r="C81" i="191"/>
  <c r="C80" i="191"/>
  <c r="C79" i="191"/>
  <c r="C74" i="191"/>
  <c r="C73" i="191"/>
  <c r="C72" i="191"/>
  <c r="C71" i="191"/>
  <c r="C70" i="191"/>
  <c r="C66" i="191"/>
  <c r="C65" i="191"/>
  <c r="C64" i="191"/>
  <c r="C63" i="191"/>
  <c r="C62" i="191"/>
  <c r="C61" i="191"/>
  <c r="C60" i="191"/>
  <c r="C59" i="191"/>
  <c r="C58" i="191"/>
  <c r="C57" i="191"/>
  <c r="C56" i="191"/>
  <c r="C55" i="191"/>
  <c r="C54" i="191"/>
  <c r="C52" i="191"/>
  <c r="C51" i="191"/>
  <c r="C50" i="191"/>
  <c r="C30" i="190"/>
  <c r="C29" i="190"/>
  <c r="C28" i="190"/>
  <c r="C26" i="190"/>
  <c r="C25" i="190"/>
  <c r="C24" i="190"/>
  <c r="C22" i="190"/>
  <c r="C17" i="190"/>
  <c r="C16" i="190"/>
  <c r="C15" i="190"/>
  <c r="C14" i="190"/>
  <c r="C11" i="190"/>
  <c r="C10" i="190"/>
  <c r="C9" i="190"/>
  <c r="C8" i="190"/>
  <c r="C7" i="190"/>
  <c r="C1921" i="189"/>
  <c r="C1920" i="189"/>
  <c r="C1919" i="189"/>
  <c r="C1918" i="189"/>
  <c r="C1913" i="189"/>
  <c r="C1910" i="189"/>
  <c r="C1907" i="189"/>
  <c r="C1905" i="189"/>
  <c r="C1904" i="189"/>
  <c r="C1901" i="189"/>
  <c r="C1898" i="189"/>
  <c r="C1895" i="189"/>
  <c r="C1892" i="189"/>
  <c r="C1889" i="189"/>
  <c r="C1885" i="189"/>
  <c r="C1881" i="189"/>
  <c r="C9" i="189"/>
  <c r="C58" i="188" l="1"/>
  <c r="C57" i="188"/>
  <c r="C56" i="188"/>
  <c r="C55" i="188"/>
  <c r="C54" i="188"/>
  <c r="C53" i="188"/>
  <c r="C52" i="188"/>
  <c r="C51" i="188"/>
  <c r="C50" i="188"/>
  <c r="C49" i="188"/>
  <c r="C48" i="188"/>
  <c r="C47" i="188"/>
  <c r="C46" i="188"/>
  <c r="C45" i="188"/>
  <c r="C44" i="188"/>
  <c r="C43" i="188"/>
  <c r="C42" i="188"/>
  <c r="C41" i="188"/>
  <c r="C40" i="188"/>
  <c r="C39" i="188"/>
  <c r="C38" i="188"/>
  <c r="C37" i="188"/>
  <c r="C36" i="188"/>
  <c r="C34" i="188"/>
  <c r="C33" i="188"/>
  <c r="C31" i="188"/>
  <c r="C30" i="188"/>
  <c r="C29" i="188"/>
  <c r="C28" i="188"/>
  <c r="C27" i="188"/>
  <c r="C26" i="188"/>
  <c r="C25" i="188"/>
  <c r="C24" i="188"/>
  <c r="C23" i="188"/>
  <c r="C22" i="188"/>
  <c r="C21" i="188"/>
  <c r="C20" i="188"/>
  <c r="C19" i="188"/>
  <c r="C18" i="188"/>
  <c r="C17" i="188"/>
  <c r="C16" i="188"/>
  <c r="C15" i="188"/>
  <c r="C14" i="188"/>
  <c r="C13" i="188"/>
  <c r="C12" i="188"/>
  <c r="C11" i="188"/>
  <c r="C10" i="188"/>
  <c r="C9" i="188"/>
  <c r="C8" i="188"/>
  <c r="C7" i="188"/>
  <c r="C447" i="183"/>
  <c r="C446" i="183"/>
  <c r="C445" i="183"/>
  <c r="C444" i="183"/>
  <c r="C443" i="183"/>
  <c r="C442" i="183"/>
  <c r="C441" i="183"/>
  <c r="C440" i="183"/>
  <c r="C439" i="183"/>
  <c r="C438" i="183"/>
  <c r="C437" i="183"/>
  <c r="C436" i="183"/>
  <c r="C435" i="183"/>
  <c r="C434" i="183"/>
  <c r="C433" i="183"/>
  <c r="C432" i="183"/>
  <c r="C431" i="183"/>
  <c r="C430" i="183"/>
  <c r="C429" i="183"/>
  <c r="C428" i="183"/>
  <c r="C427" i="183"/>
  <c r="C426" i="183"/>
  <c r="C425" i="183"/>
  <c r="C424" i="183"/>
  <c r="C423" i="183"/>
  <c r="C422" i="183"/>
  <c r="C421" i="183"/>
  <c r="C420" i="183"/>
  <c r="C419" i="183"/>
  <c r="C418" i="183"/>
  <c r="C417" i="183"/>
  <c r="C416" i="183"/>
  <c r="C415" i="183"/>
  <c r="C414" i="183"/>
  <c r="C413" i="183"/>
  <c r="C412" i="183"/>
  <c r="C411" i="183"/>
  <c r="C410" i="183"/>
  <c r="C397" i="183"/>
  <c r="C395" i="183"/>
  <c r="C394" i="183"/>
  <c r="C393" i="183"/>
  <c r="C392" i="183"/>
  <c r="C391" i="183"/>
  <c r="C390" i="183"/>
  <c r="C389" i="183"/>
  <c r="C388" i="183"/>
  <c r="C387" i="183"/>
  <c r="C386" i="183"/>
  <c r="C385" i="183"/>
  <c r="C384" i="183"/>
  <c r="C383" i="183"/>
  <c r="C382" i="183"/>
  <c r="C381" i="183"/>
  <c r="C380" i="183"/>
  <c r="C379" i="183"/>
  <c r="C378" i="183"/>
  <c r="C377" i="183"/>
  <c r="C376" i="183"/>
  <c r="C375" i="183"/>
  <c r="C374" i="183"/>
  <c r="C373" i="183"/>
  <c r="C372" i="183"/>
  <c r="C371" i="183"/>
  <c r="C370" i="183"/>
  <c r="C369" i="183"/>
  <c r="C368" i="183"/>
  <c r="C367" i="183"/>
  <c r="C366" i="183"/>
  <c r="C365" i="183"/>
  <c r="C364" i="183"/>
  <c r="C363" i="183"/>
  <c r="C362" i="183"/>
  <c r="C361" i="183"/>
  <c r="C360" i="183"/>
  <c r="C359" i="183"/>
  <c r="C358" i="183"/>
  <c r="C357" i="183"/>
  <c r="C356" i="183"/>
  <c r="C355" i="183"/>
  <c r="C354" i="183"/>
  <c r="C353" i="183"/>
  <c r="C352" i="183"/>
  <c r="C351" i="183"/>
  <c r="C350" i="183"/>
  <c r="C349" i="183"/>
  <c r="C348" i="183"/>
  <c r="C347" i="183"/>
  <c r="C346" i="183"/>
  <c r="C345" i="183"/>
  <c r="C344" i="183"/>
  <c r="C343" i="183"/>
  <c r="C342" i="183"/>
  <c r="C341" i="183"/>
  <c r="C340" i="183"/>
  <c r="C339" i="183"/>
  <c r="C338" i="183"/>
  <c r="C337" i="183"/>
  <c r="C336" i="183"/>
  <c r="C335" i="183"/>
  <c r="C334" i="183"/>
  <c r="C333" i="183"/>
  <c r="C332" i="183"/>
  <c r="C331" i="183"/>
  <c r="C330" i="183"/>
  <c r="C329" i="183"/>
  <c r="C328" i="183"/>
  <c r="C327" i="183"/>
  <c r="C326" i="183"/>
  <c r="C325" i="183"/>
  <c r="C324" i="183"/>
  <c r="C323" i="183"/>
  <c r="C322" i="183"/>
  <c r="C321" i="183"/>
  <c r="C320" i="183"/>
  <c r="C319" i="183"/>
  <c r="C318" i="183"/>
  <c r="C317" i="183"/>
  <c r="C316" i="183"/>
  <c r="C315" i="183"/>
  <c r="C314" i="183"/>
  <c r="C313" i="183"/>
  <c r="C312" i="183"/>
  <c r="C311" i="183"/>
  <c r="C310" i="183"/>
  <c r="C309" i="183"/>
  <c r="C308" i="183"/>
  <c r="C307" i="183"/>
  <c r="C306" i="183"/>
  <c r="C305" i="183"/>
  <c r="C304" i="183"/>
  <c r="C303" i="183"/>
  <c r="C302" i="183"/>
  <c r="C301" i="183"/>
  <c r="C300" i="183"/>
  <c r="C299" i="183"/>
  <c r="C298" i="183"/>
  <c r="C297" i="183"/>
  <c r="C296" i="183"/>
  <c r="C295" i="183"/>
  <c r="C294" i="183"/>
  <c r="C291" i="183"/>
  <c r="C290" i="183"/>
  <c r="C289" i="183"/>
  <c r="C288" i="183"/>
  <c r="C287" i="183"/>
  <c r="C286" i="183"/>
  <c r="C285" i="183"/>
  <c r="C284" i="183"/>
  <c r="C283" i="183"/>
  <c r="C282" i="183"/>
  <c r="C281" i="183"/>
  <c r="C252" i="183"/>
  <c r="C251" i="183"/>
  <c r="C250" i="183"/>
  <c r="C249" i="183"/>
  <c r="C248" i="183"/>
  <c r="C247" i="183"/>
  <c r="C246" i="183"/>
  <c r="C245" i="183"/>
  <c r="C244" i="183"/>
  <c r="C239" i="183"/>
  <c r="C238" i="183"/>
  <c r="C237" i="183"/>
  <c r="C236" i="183"/>
  <c r="C235" i="183"/>
  <c r="C234" i="183"/>
  <c r="C233" i="183"/>
  <c r="C232" i="183"/>
  <c r="C231" i="183"/>
  <c r="C230" i="183"/>
  <c r="C229" i="183"/>
  <c r="C228" i="183"/>
  <c r="C227" i="183"/>
  <c r="C226" i="183"/>
  <c r="C225" i="183"/>
  <c r="C224" i="183"/>
  <c r="C223" i="183"/>
  <c r="C222" i="183"/>
  <c r="C221" i="183"/>
  <c r="C220" i="183"/>
  <c r="C219" i="183"/>
  <c r="C218" i="183"/>
  <c r="C217" i="183"/>
  <c r="C216" i="183"/>
  <c r="C215" i="183"/>
  <c r="C214" i="183"/>
  <c r="C213" i="183"/>
  <c r="C212" i="183"/>
  <c r="C211" i="183"/>
  <c r="C210" i="183"/>
  <c r="C209" i="183"/>
  <c r="C208" i="183"/>
  <c r="C207" i="183"/>
  <c r="C206" i="183"/>
  <c r="C205" i="183"/>
  <c r="C204" i="183"/>
  <c r="C203" i="183"/>
  <c r="C202" i="183"/>
  <c r="C201" i="183"/>
  <c r="C200" i="183"/>
  <c r="C199" i="183"/>
  <c r="C198" i="183"/>
  <c r="C197" i="183"/>
  <c r="C196" i="183"/>
  <c r="C195" i="183"/>
  <c r="C194" i="183"/>
  <c r="C193" i="183"/>
  <c r="C192" i="183"/>
  <c r="C191" i="183"/>
  <c r="C190" i="183"/>
  <c r="C189" i="183"/>
  <c r="C188" i="183"/>
  <c r="C173" i="183"/>
  <c r="C172" i="183"/>
  <c r="C171" i="183"/>
  <c r="C170" i="183"/>
  <c r="C169" i="183"/>
  <c r="C42" i="183"/>
  <c r="C41" i="183"/>
  <c r="C40" i="183"/>
  <c r="C39" i="183"/>
  <c r="C38" i="183"/>
  <c r="C37" i="183"/>
  <c r="C36" i="183"/>
  <c r="C35" i="183"/>
  <c r="C34" i="183"/>
  <c r="C33" i="183"/>
  <c r="C32" i="183"/>
  <c r="C31" i="183"/>
  <c r="C30" i="183"/>
  <c r="C29" i="183"/>
  <c r="C28" i="183"/>
  <c r="C27" i="183"/>
  <c r="C26" i="183"/>
  <c r="C24" i="183"/>
  <c r="C23" i="183"/>
  <c r="C22" i="183"/>
  <c r="C21" i="183"/>
  <c r="C20" i="183"/>
  <c r="C19" i="183"/>
  <c r="C17" i="183"/>
  <c r="C16" i="183"/>
  <c r="C15" i="183"/>
  <c r="C12" i="183"/>
  <c r="C11" i="183"/>
  <c r="C10" i="183"/>
  <c r="C9" i="183"/>
  <c r="C8" i="183"/>
  <c r="C7" i="183"/>
  <c r="C9" i="187" l="1"/>
  <c r="C1482" i="180" l="1"/>
  <c r="C1481" i="180"/>
  <c r="C1480" i="180"/>
  <c r="C1479" i="180"/>
  <c r="C1478" i="180"/>
  <c r="C1477" i="180"/>
  <c r="C1476" i="180"/>
  <c r="C1475" i="180"/>
  <c r="C1474" i="180"/>
  <c r="C1473" i="180"/>
  <c r="C1472" i="180"/>
  <c r="C1471" i="180"/>
  <c r="C1470" i="180"/>
  <c r="C1469" i="180"/>
  <c r="C1468" i="180"/>
  <c r="C1467" i="180"/>
  <c r="C1466" i="180"/>
  <c r="C1465" i="180"/>
  <c r="C1464" i="180"/>
  <c r="C1463" i="180"/>
  <c r="C1462" i="180"/>
  <c r="C1461" i="180"/>
  <c r="C1460" i="180"/>
  <c r="C1459" i="180"/>
  <c r="C1458" i="180"/>
  <c r="C1457" i="180"/>
  <c r="C1456" i="180"/>
  <c r="C1455" i="180"/>
  <c r="C1454" i="180"/>
  <c r="C1453" i="180"/>
  <c r="C1452" i="180"/>
  <c r="C1451" i="180"/>
  <c r="C1450" i="180"/>
  <c r="C1449" i="180"/>
  <c r="C1448" i="180"/>
  <c r="C1447" i="180"/>
  <c r="C1446" i="180"/>
  <c r="C1445" i="180"/>
  <c r="C1444" i="180"/>
  <c r="C1443" i="180"/>
  <c r="C1442" i="180"/>
  <c r="C1441" i="180"/>
  <c r="C1440" i="180"/>
  <c r="C1263" i="180"/>
  <c r="C1262" i="180"/>
  <c r="C1261" i="180"/>
  <c r="C1260" i="180"/>
  <c r="C1259" i="180"/>
  <c r="C1258" i="180"/>
  <c r="C1257" i="180"/>
  <c r="C1256" i="180"/>
  <c r="C1255" i="180"/>
  <c r="C1254" i="180"/>
  <c r="C1253" i="180"/>
  <c r="C1252" i="180"/>
  <c r="C1251" i="180"/>
  <c r="C1250" i="180"/>
  <c r="C1249" i="180"/>
  <c r="C1248" i="180"/>
  <c r="C1247" i="180"/>
  <c r="C1246" i="180"/>
  <c r="C1245" i="180"/>
  <c r="C1244" i="180"/>
  <c r="C1243" i="180"/>
  <c r="C1242" i="180"/>
  <c r="C1241" i="180"/>
  <c r="C1240" i="180"/>
  <c r="C1239" i="180"/>
  <c r="C1238" i="180"/>
  <c r="C1237" i="180"/>
  <c r="C1236" i="180"/>
  <c r="C1235" i="180"/>
  <c r="C1234" i="180"/>
  <c r="C1233" i="180"/>
  <c r="C1232" i="180"/>
  <c r="C1231" i="180"/>
  <c r="C1230" i="180"/>
  <c r="C1229" i="180"/>
  <c r="C1228" i="180"/>
  <c r="C1227" i="180"/>
  <c r="C1226" i="180"/>
  <c r="C1225" i="180"/>
  <c r="C1224" i="180"/>
  <c r="C1223" i="180"/>
  <c r="C1222" i="180"/>
  <c r="C1221" i="180"/>
  <c r="C1220" i="180"/>
  <c r="C1219" i="180"/>
  <c r="C1218" i="180"/>
  <c r="C1217" i="180"/>
  <c r="C1216" i="180"/>
  <c r="C1215" i="180"/>
  <c r="C1214" i="180"/>
  <c r="C1213" i="180"/>
  <c r="C1212" i="180"/>
  <c r="C1211" i="180"/>
  <c r="C1210" i="180"/>
  <c r="C1209" i="180"/>
  <c r="C1208" i="180"/>
  <c r="C1207" i="180"/>
  <c r="C1206" i="180"/>
  <c r="C1205" i="180"/>
  <c r="C1204" i="180"/>
  <c r="C1203" i="180"/>
  <c r="C1202" i="180"/>
  <c r="C1201" i="180"/>
  <c r="C1200" i="180"/>
  <c r="C1199" i="180"/>
  <c r="C1198" i="180"/>
  <c r="C1197" i="180"/>
  <c r="C1196" i="180"/>
  <c r="C1195" i="180"/>
  <c r="C1194" i="180"/>
  <c r="C1193" i="180"/>
  <c r="C1192" i="180"/>
  <c r="C1191" i="180"/>
  <c r="C1190" i="180"/>
  <c r="C1189" i="180"/>
  <c r="C1188" i="180"/>
  <c r="C1187" i="180"/>
  <c r="C1186" i="180"/>
  <c r="C1185" i="180"/>
  <c r="C1184" i="180"/>
  <c r="C1183" i="180"/>
  <c r="C1182" i="180"/>
  <c r="C1181" i="180"/>
  <c r="C1180" i="180"/>
  <c r="C1179" i="180"/>
  <c r="C1178" i="180"/>
  <c r="C1177" i="180"/>
  <c r="C1176" i="180"/>
  <c r="C1175" i="180"/>
  <c r="C1174" i="180"/>
  <c r="C1173" i="180"/>
  <c r="C1172" i="180"/>
  <c r="C1171" i="180"/>
  <c r="C1170" i="180"/>
  <c r="C1169" i="180"/>
  <c r="C1168" i="180"/>
  <c r="C1167" i="180"/>
  <c r="C1166" i="180"/>
  <c r="C1165" i="180"/>
  <c r="C1164" i="180"/>
  <c r="C1162" i="180"/>
  <c r="C1161" i="180"/>
  <c r="C1160" i="180"/>
  <c r="C1159" i="180"/>
  <c r="C1158" i="180"/>
  <c r="C1157" i="180"/>
  <c r="C1156" i="180"/>
  <c r="C1155" i="180"/>
  <c r="C1154" i="180"/>
  <c r="C1153" i="180"/>
  <c r="C1152" i="180"/>
  <c r="C1145" i="180"/>
  <c r="C1144" i="180"/>
  <c r="C1143" i="180"/>
  <c r="C1142" i="180"/>
  <c r="C1141" i="180"/>
  <c r="C469" i="180"/>
  <c r="C468" i="180"/>
  <c r="C467" i="180"/>
  <c r="C466" i="180"/>
  <c r="C465" i="180"/>
  <c r="C414" i="180"/>
  <c r="C413" i="180"/>
  <c r="C412" i="180"/>
  <c r="C411" i="180"/>
  <c r="C410" i="180"/>
  <c r="C409" i="180"/>
  <c r="C408" i="180"/>
  <c r="C407" i="180"/>
  <c r="C406" i="180"/>
  <c r="C405" i="180"/>
  <c r="C404" i="180"/>
  <c r="C403" i="180"/>
  <c r="C402" i="180"/>
  <c r="C401" i="180"/>
  <c r="C400" i="180"/>
  <c r="C399" i="180"/>
  <c r="C398" i="180"/>
  <c r="C397" i="180"/>
  <c r="C396" i="180"/>
  <c r="C395" i="180"/>
  <c r="C394" i="180"/>
  <c r="C393" i="180"/>
  <c r="C392" i="180"/>
  <c r="C391" i="180"/>
  <c r="C386" i="180"/>
  <c r="C385" i="180"/>
  <c r="C384" i="180"/>
  <c r="C383" i="180"/>
  <c r="C382" i="180"/>
  <c r="C381" i="180"/>
  <c r="C380" i="180"/>
  <c r="C379" i="180"/>
  <c r="C378" i="180"/>
  <c r="C377" i="180"/>
  <c r="C376" i="180"/>
  <c r="C375" i="180"/>
  <c r="C374" i="180"/>
  <c r="C373" i="180"/>
  <c r="C372" i="180"/>
  <c r="C371" i="180"/>
  <c r="C370" i="180"/>
  <c r="C369" i="180"/>
  <c r="C368" i="180"/>
  <c r="C367" i="180"/>
  <c r="C366" i="180"/>
  <c r="C365" i="180"/>
  <c r="C364" i="180"/>
  <c r="C363" i="180"/>
  <c r="C362" i="180"/>
  <c r="C361" i="180"/>
  <c r="C360" i="180"/>
  <c r="C359" i="180"/>
  <c r="C358" i="180"/>
  <c r="C357" i="180"/>
  <c r="C356" i="180"/>
  <c r="C325" i="180"/>
  <c r="C324" i="180"/>
  <c r="C323" i="180"/>
  <c r="C270" i="180"/>
  <c r="C269" i="180"/>
  <c r="C268" i="180"/>
  <c r="C267" i="180"/>
  <c r="C266" i="180"/>
  <c r="C265" i="180"/>
  <c r="C264" i="180"/>
  <c r="C263" i="180"/>
  <c r="C262" i="180"/>
  <c r="C261" i="180"/>
  <c r="C260" i="180"/>
  <c r="C259" i="180"/>
  <c r="C258" i="180"/>
  <c r="C257" i="180"/>
  <c r="C113" i="180"/>
  <c r="C112" i="180"/>
  <c r="C111" i="180"/>
  <c r="C110" i="180"/>
  <c r="C109" i="180"/>
  <c r="C108" i="180"/>
  <c r="C107" i="180"/>
  <c r="C106" i="180"/>
  <c r="C105" i="180"/>
  <c r="C104" i="180"/>
  <c r="C103" i="180"/>
  <c r="C102" i="180"/>
  <c r="C101" i="180"/>
  <c r="C100" i="180"/>
  <c r="C99" i="180"/>
  <c r="C98" i="180"/>
  <c r="C97" i="180"/>
  <c r="C96" i="180"/>
  <c r="C95" i="180"/>
  <c r="C94" i="180"/>
  <c r="C93" i="180"/>
  <c r="C92" i="180"/>
  <c r="C91" i="180"/>
  <c r="C90" i="180"/>
  <c r="C89" i="180"/>
  <c r="C88" i="180"/>
  <c r="C87" i="180"/>
  <c r="C86" i="180"/>
  <c r="C85" i="180"/>
  <c r="C84" i="180"/>
  <c r="C83" i="180"/>
  <c r="C82" i="180"/>
  <c r="C81" i="180"/>
  <c r="C80" i="180"/>
  <c r="C79" i="180"/>
  <c r="C78" i="180"/>
  <c r="C77" i="180"/>
  <c r="C76" i="180"/>
  <c r="C75" i="180"/>
  <c r="C74" i="180"/>
  <c r="C73" i="180"/>
  <c r="C72" i="180"/>
  <c r="C71" i="180"/>
  <c r="C70" i="180"/>
  <c r="C69" i="180"/>
  <c r="C68" i="180"/>
  <c r="C67" i="180"/>
  <c r="C66" i="180"/>
  <c r="C65" i="180"/>
  <c r="C64" i="180"/>
  <c r="C63" i="180"/>
  <c r="C62" i="180"/>
  <c r="C61" i="180"/>
  <c r="C60" i="180"/>
  <c r="C59" i="180"/>
  <c r="C58" i="180"/>
  <c r="C57" i="180"/>
  <c r="C56" i="180"/>
  <c r="C55" i="180"/>
  <c r="C54" i="180"/>
  <c r="C53" i="180"/>
  <c r="C52" i="180"/>
  <c r="C51" i="180"/>
  <c r="C50" i="180"/>
  <c r="C49" i="180"/>
  <c r="C48" i="180"/>
  <c r="C47" i="180"/>
  <c r="C46" i="180"/>
  <c r="C45" i="180"/>
  <c r="C44" i="180"/>
  <c r="C43" i="180"/>
  <c r="C42" i="180"/>
  <c r="C41" i="180"/>
  <c r="C40" i="180"/>
  <c r="C39" i="180"/>
  <c r="C38" i="180"/>
  <c r="C37" i="180"/>
  <c r="C36" i="180"/>
  <c r="C35" i="180"/>
  <c r="C34" i="180"/>
  <c r="C33" i="180"/>
  <c r="C32" i="180"/>
  <c r="C31" i="180"/>
  <c r="C30" i="180"/>
  <c r="C29" i="180"/>
  <c r="C28" i="180"/>
  <c r="C27" i="180"/>
  <c r="C26" i="180"/>
  <c r="C25" i="180"/>
  <c r="C24" i="180"/>
  <c r="C23" i="180"/>
  <c r="C22" i="180"/>
  <c r="C21" i="180"/>
  <c r="C20" i="180"/>
  <c r="C19" i="180"/>
  <c r="C18" i="180"/>
  <c r="C17" i="180"/>
  <c r="C16" i="180"/>
  <c r="C15" i="180"/>
  <c r="C14" i="180"/>
  <c r="C13" i="180"/>
  <c r="C12" i="180"/>
  <c r="C11" i="180"/>
  <c r="C10" i="180"/>
  <c r="C9" i="180"/>
  <c r="C8" i="180"/>
  <c r="C7" i="180"/>
  <c r="A3" i="90" l="1"/>
</calcChain>
</file>

<file path=xl/comments1.xml><?xml version="1.0" encoding="utf-8"?>
<comments xmlns="http://schemas.openxmlformats.org/spreadsheetml/2006/main">
  <authors>
    <author>jflores</author>
  </authors>
  <commentList>
    <comment ref="B5" authorId="0" shapeId="0">
      <text>
        <r>
          <rPr>
            <b/>
            <sz val="8"/>
            <color indexed="81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<sst xmlns="http://schemas.openxmlformats.org/spreadsheetml/2006/main" count="12303" uniqueCount="1551">
  <si>
    <t>Área de adscripción</t>
  </si>
  <si>
    <t>Número de empleado</t>
  </si>
  <si>
    <t>RFC</t>
  </si>
  <si>
    <t>CURP</t>
  </si>
  <si>
    <t>Nombre del empleado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</si>
  <si>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</si>
  <si>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</si>
  <si>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</si>
  <si>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</si>
  <si>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</si>
  <si>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</si>
  <si>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</si>
  <si>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</si>
  <si>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</si>
  <si>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NOMBRE</t>
  </si>
  <si>
    <t>Nº Progr.</t>
  </si>
  <si>
    <t xml:space="preserve"> ( 3 )</t>
  </si>
  <si>
    <t>Baja</t>
  </si>
  <si>
    <t>Fecha de:</t>
  </si>
  <si>
    <t>Importe de la modificación</t>
  </si>
  <si>
    <t xml:space="preserve"> ( 1)</t>
  </si>
  <si>
    <t xml:space="preserve"> ( 2 )</t>
  </si>
  <si>
    <t>Cargo o puesto</t>
  </si>
  <si>
    <t>Número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</si>
  <si>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</si>
  <si>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</si>
  <si>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</si>
  <si>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</si>
  <si>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</si>
  <si>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</si>
  <si>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</si>
  <si>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</si>
  <si>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</si>
  <si>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</si>
  <si>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</si>
  <si>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Periodo_________________</t>
  </si>
  <si>
    <t>Modificación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</si>
  <si>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</si>
  <si>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</si>
  <si>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</si>
  <si>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</si>
  <si>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</si>
  <si>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</si>
  <si>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</si>
  <si>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</si>
  <si>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</si>
  <si>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</si>
  <si>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</si>
  <si>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</si>
  <si>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</si>
  <si>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</si>
  <si>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</si>
  <si>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</si>
  <si>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</si>
  <si>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</si>
  <si>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</si>
  <si>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</si>
  <si>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</si>
  <si>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</si>
  <si>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</si>
  <si>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</si>
  <si>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</si>
  <si>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</si>
  <si>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</si>
  <si>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</si>
  <si>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</si>
  <si>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</si>
  <si>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</si>
  <si>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</si>
  <si>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</si>
  <si>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</si>
  <si>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</si>
  <si>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</si>
  <si>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</si>
  <si>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</si>
  <si>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</si>
  <si>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</si>
  <si>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</si>
  <si>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</si>
  <si>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</si>
  <si>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</si>
  <si>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</si>
  <si>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</si>
  <si>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</si>
  <si>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</si>
  <si>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</si>
  <si>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</si>
  <si>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</si>
  <si>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</si>
  <si>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</si>
  <si>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</si>
  <si>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</si>
  <si>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</si>
  <si>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</si>
  <si>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</si>
  <si>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</si>
  <si>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</si>
  <si>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</si>
  <si>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</si>
  <si>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</si>
  <si>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</si>
  <si>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</si>
  <si>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</si>
  <si>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</si>
  <si>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</si>
  <si>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</si>
  <si>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</si>
  <si>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</si>
  <si>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</si>
  <si>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</si>
  <si>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</si>
  <si>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</si>
  <si>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</si>
  <si>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</si>
  <si>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</si>
  <si>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</si>
  <si>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</si>
  <si>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</si>
  <si>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</si>
  <si>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</si>
  <si>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</si>
  <si>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</si>
  <si>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</si>
  <si>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</si>
  <si>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</si>
  <si>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</si>
  <si>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</si>
  <si>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</si>
  <si>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</si>
  <si>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</si>
  <si>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</si>
  <si>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</si>
  <si>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>Descripción del bien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</si>
  <si>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</si>
  <si>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</si>
  <si>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</si>
  <si>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</si>
  <si>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</si>
  <si>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</si>
  <si>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</si>
  <si>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</si>
  <si>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</si>
  <si>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</si>
  <si>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</si>
  <si>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Alta</t>
  </si>
  <si>
    <t>Tipo de plaza</t>
  </si>
  <si>
    <t>Modificaciones realizadas a la plantilla de personal (altas, bajas o modificaciones salariales) durante el periodo</t>
  </si>
  <si>
    <t>Formato IG-1</t>
  </si>
  <si>
    <t>Código</t>
  </si>
  <si>
    <t>Valor en libros</t>
  </si>
  <si>
    <t>Formato IG-2</t>
  </si>
  <si>
    <t>Nombre del Ente: ___</t>
  </si>
  <si>
    <r>
      <t>Relación de bienes que componen el patrimonio,  al 31 de diciembre de 2021.</t>
    </r>
    <r>
      <rPr>
        <sz val="11"/>
        <rFont val="Arial"/>
        <family val="2"/>
      </rPr>
      <t xml:space="preserve"> (A)</t>
    </r>
  </si>
  <si>
    <t>LIBRERO DE 180 X 60X 30 CM CON PUERTA DE CAOBA Y LATERAL DE 28 MM CON ENTREPAÑOS EN CAL. 19 MM</t>
  </si>
  <si>
    <t>SILLA FIJA NOVA AZUL CON BASE TUBULAR</t>
  </si>
  <si>
    <t>SILLON SEMI EJECUTIVO EN VINIPIEL COLOR NEGRO</t>
  </si>
  <si>
    <t>ESCRITORIO SEMI EJECUTIVO  DE 120 X 75 CM COLOR CAOBA Y BASE NEGRA</t>
  </si>
  <si>
    <t>ANAQUEL TIPO ESQUELETO 915 X 450 X 2210</t>
  </si>
  <si>
    <t>ARCHIVERO DE LAMINA DE ACERO CON 3 GAVETAS</t>
  </si>
  <si>
    <t>ARCHIVEROS METALICOS DE 3 GAVETAS</t>
  </si>
  <si>
    <t>CREDENZA CON DOS PUERTAS CORREDIZAS</t>
  </si>
  <si>
    <t>ESCRITORIO CON DOS PEDESTALES</t>
  </si>
  <si>
    <t>ESCRITORIO CON UN PEDESTAL</t>
  </si>
  <si>
    <t>ESCRITORIO CON ADITAMENTOS  EJECUTIVO</t>
  </si>
  <si>
    <t>LIBRERO HORIZONTAL METÁLICO</t>
  </si>
  <si>
    <t>MESA BINARIA CON CUBIERTA</t>
  </si>
  <si>
    <t>MESA DE CENTRO CON CUBIERTA DE PLÁSTICO</t>
  </si>
  <si>
    <t>MESA DE ESQUINA CON CUBIERTA DE PLASTICO</t>
  </si>
  <si>
    <t>MESA PARA IMPRESORA</t>
  </si>
  <si>
    <t>MESA PARA MICROCOMPUTADORA</t>
  </si>
  <si>
    <t>MESA PARA COMPUTADORA 1.20 X 60 CM</t>
  </si>
  <si>
    <t>MUEBLE DE GUARDADO BAJO PARA LABORATORIO</t>
  </si>
  <si>
    <t>SILLA  SECRETARIAL CUBIERTA DE VINIL COLOR NEGRA</t>
  </si>
  <si>
    <t>SILLA ESPECIAL CAPFCE APILABLE</t>
  </si>
  <si>
    <t>SILLA SECRETARIAL</t>
  </si>
  <si>
    <t>SOFA DE TRES PLAZAS SECCIONAL</t>
  </si>
  <si>
    <t>SOFA DE DOS PLAZAS SECCIONAL</t>
  </si>
  <si>
    <t>MESAS PARA IMPRESORA 80X60 CM.</t>
  </si>
  <si>
    <t>MESAS BINARIAS 1.20 X 40 CM.</t>
  </si>
  <si>
    <t>ESCRITORIOS SEMIEJECUTIVOS DE MADERA C/2 CAJONES</t>
  </si>
  <si>
    <t xml:space="preserve">ESCRITORIOS SECRETARIALES DE MADERA CON DOS PEDESTALES </t>
  </si>
  <si>
    <t>ESCRITORIOS SECRETARIALES DE MADERA</t>
  </si>
  <si>
    <t>SILLONES EJECUTIVOS CON DESCANSA BRAZOS</t>
  </si>
  <si>
    <t>SILLONES EJECUTIVOS</t>
  </si>
  <si>
    <t>ARCHIVERO METÁLICO  CON 3 GAVETAS</t>
  </si>
  <si>
    <t>MESA PARA COMPUTADORA</t>
  </si>
  <si>
    <t>MESA PARA BIBLIOTECA</t>
  </si>
  <si>
    <t xml:space="preserve">CREDENZA CON DOS PUERTAS </t>
  </si>
  <si>
    <t>REVISTERO SENCILLO</t>
  </si>
  <si>
    <t xml:space="preserve">ANAQUEL TIPO ESQUELETO </t>
  </si>
  <si>
    <t>CARRO TRANSPORTADOR DELIBROS</t>
  </si>
  <si>
    <t xml:space="preserve">SOFA DE TRES PLAZAS </t>
  </si>
  <si>
    <t>SILLA ESPECIAL APILABLE</t>
  </si>
  <si>
    <t>EXTINGUIDOR ABC DE 7 KG</t>
  </si>
  <si>
    <t>EXTINGUIDOR DEGAS HALON DE 4.5 KG</t>
  </si>
  <si>
    <t xml:space="preserve">ESCRITORIO EJECUTIVO DE MADERA </t>
  </si>
  <si>
    <t>CREDENZA DE MADERA</t>
  </si>
  <si>
    <t xml:space="preserve">MUEBLE DE MADERA, PARA COMPUTADORA </t>
  </si>
  <si>
    <t>ARCHIVERO METALICO DE 4 GAVETAS COLOR ARENA</t>
  </si>
  <si>
    <t>MESA REDONDA DE CEDRO</t>
  </si>
  <si>
    <t>SILLA PARA MESA BINARIA</t>
  </si>
  <si>
    <t>SILLA PARA MESA PLEGABLE</t>
  </si>
  <si>
    <t>MESA PLEGABLE 1,82M</t>
  </si>
  <si>
    <t>SILLON EJECUTIVO CON RESPALDO</t>
  </si>
  <si>
    <t xml:space="preserve">ARCHIVERO METALICO CON 3 GAVETAS </t>
  </si>
  <si>
    <t>ANAQUELES CON CHAROLAS DE CAL. 24 CON MEDIDAS DE 45X85 CON POSTE DE 2.20</t>
  </si>
  <si>
    <t>MUEBLE ALUMNO/ MAESTRO</t>
  </si>
  <si>
    <t>ESTANTE PARA HERRAMIENTA</t>
  </si>
  <si>
    <t>ANAQUEL DE PARED</t>
  </si>
  <si>
    <t>ESCRITORIO EJECUTIVO DE MADERA</t>
  </si>
  <si>
    <t xml:space="preserve">ESCRITORIO EJECUTIVO DE MADERA COLOR CAFÉ </t>
  </si>
  <si>
    <t>SILLON EJECUTIVO CON RESPALDO ALTO</t>
  </si>
  <si>
    <t>ESCRITORIO SECRETARIAL CON UN PEDESTAL</t>
  </si>
  <si>
    <t>SILLA SECRETARIAL COLOR NEGRO</t>
  </si>
  <si>
    <t>SILLON EJECUTIVO COLOR NEGRO PIEL</t>
  </si>
  <si>
    <t>MESA PARA JUNTAS PARA 12 PERSONAS DE 1.80 X 3.00 CON BASE REDONDAS COLOR PERA</t>
  </si>
  <si>
    <t>VIDEO PROYECTOR</t>
  </si>
  <si>
    <t>SALA (3 PIEZAS COLOR CAFÉ)</t>
  </si>
  <si>
    <t xml:space="preserve">LOKERS </t>
  </si>
  <si>
    <t>ISLAS(PARA EQUIPO DE COMPUTO) 28 MESAS ESQUINERAS Y SILLAS ERGONOMICAS Y I ESCRITORIO PARA MAESTRO Y SILLA ERGONOMICA</t>
  </si>
  <si>
    <t>BUTACA ESCOLAR CON BASE TUBULAR EN FORMA DORADA Y PALETA Y RESPALDO EN CALIBRE 9"</t>
  </si>
  <si>
    <t>ANTICIPO PARA EL EQUIPAMIENTO DE MOBILIARIO Y EQUIPO DEL EDIFICIO DE DOCENCIA DE UN NIVEL</t>
  </si>
  <si>
    <t>TABLON RECTANGULAR DE 2.35X76 CM CON CUBIERTA DE TRIPLAY DE 9MM BARNIZ AL NATURAL ESTRUCTURA TUBULAR CALIBRE 18 (20 PIEZAS)</t>
  </si>
  <si>
    <t>MODULO ESQUINERO 120X120X75 CM. NO INCLUYE PORTA TECLADO ESTRUCTURA COLOR NEGRO</t>
  </si>
  <si>
    <t>MUEBLE PARA PROFESOR</t>
  </si>
  <si>
    <t>MUEBLE BINARIO PARA ALUMNO</t>
  </si>
  <si>
    <t xml:space="preserve"> BUTACAS DE MADERA CON ESTRUCTURA METALICA</t>
  </si>
  <si>
    <t>SILLAS PARA MAESTRO</t>
  </si>
  <si>
    <t>ESCRITORIO EJECUTIVO METALICO DE 1.60X80.75, DE 4 GABETAS EN COLOR ARENA</t>
  </si>
  <si>
    <t xml:space="preserve">ESCRITORIO SECRETARIAL METÁLICO DE DOS GAVETAS,  UNA GAVETA PARA LAPICERA Y OTRA PARA ARCHIVO  TAMAÑO OFICIO,  DE 1.20 X .60X .75 EN COLOR ARENA </t>
  </si>
  <si>
    <t xml:space="preserve">ESCRITORIO SECRETARIAL METÁLICO DE DOS GAVETAS,  UNA GAVETA PARA LAPICERA Y OTRA PARA ARCHIVO EN TAMAÑO OFICIO,  DE 1.20 X .60X .75 EN COLOR ARENA </t>
  </si>
  <si>
    <t xml:space="preserve">SILLON EJECUTIVO MODELO E-200 DE PIEL EN COLOR NEGRO </t>
  </si>
  <si>
    <t>CAMARA CANON EOS REBEL  T6s EP - S 135mm IS STM</t>
  </si>
  <si>
    <t xml:space="preserve">AIRE ACONDICIONADO Minisplit de 1 Tonelada de 220 volts </t>
  </si>
  <si>
    <t xml:space="preserve">AIRE ACONDICIONADO Minisplit de 2 Tonelada de 220 volts </t>
  </si>
  <si>
    <t>IMPRESORA MULTIFUNCIONAL  WORKCENTRE 5330</t>
  </si>
  <si>
    <t xml:space="preserve">IMPRESORA MULTIFUNCIONAL </t>
  </si>
  <si>
    <t xml:space="preserve">BUTACAS  ESCOLARES </t>
  </si>
  <si>
    <t>EQUIPAMIENTO ESPECIALIZADO PARA EL PROGRAMA EDUCATIVO DE TURISMO, QUE INCLUYE: 1 CAMA PORTÁTIL CORPORAL REFORZADA SANDE SOPORTA 240 KILOS PESO 1.80X.70 CM., 1 ALMOHADA PARA MASAJES WAFLE, LISTADA, BRAMANTE, 1 PORTA BRAZOS LATERALES 2 PIEZAS,  1 DIFUSOR DE CERÁMICA AGAVE SPA.  (CONSUMIBLE), 1 ACEITE PARA MASAJE VEHICULAR  DE CHOCOLATE 120 ML (CONSUMIBLES), 1 ACEITE PARA MASAJE HIDRÓFILO SEMILLAS Y CAFÉ 120ML. (CONSUMIBLE), 1 ACEITE PARA MASAJE HIDRÓFILO LAVANDA Y MADERA 120 ML. (CONSUMIBLES) 1 ACEITE PARA MASAJE FILO TERAPÉUTICO 120 ML. (CONSUMIBLE), 1 CREMA AZULENO ENVASE DE 120 ML. (CONSUMIBLE), 1 CREMA LIMA Y CHAYA ENVASE DE 120 ML. (CONSUMIBLE), 1 SINERGIAS 20 ML. YLANG  YLAN (CONSUMIBLE), 1 SINERGIAS 20 ML.  LAVANDA  (CONSUMIBLE), 1 SINERGIAS 20 ML. EUCALIPTO  (CONSUMIBLE), 1 SINERGIAS 20 ML. ALBAHAC,(CONSUMIBLE), 1 CREMA CÍTRICO CON PROTECCIÓN SOLAR ENVASE DE 120 ML.(CONSUMIBLE) 1 CABINA TRADICIONAL 1.22X 1.22 X 2.10</t>
  </si>
  <si>
    <t>MULTIFUNCIONAL  MODELO WC3615_DN PPM</t>
  </si>
  <si>
    <t>AIRE ACONDICIONADO MINISPLIT MODELO ASW-24B2/SOD 220V AMARL</t>
  </si>
  <si>
    <t xml:space="preserve">AIRE ACONDICIONADO MINISPLIT MODELO ASW-12B2/SUC 220V </t>
  </si>
  <si>
    <t xml:space="preserve">MESA PARA ROBOTS DE MADERA CON PLATAFORMA DE FORMAICA </t>
  </si>
  <si>
    <t>AIRE ACONDICIONADO MINISPLIT MODELO SETCXF261 J 26000 BTUS SOLO FRIO 2 TON.</t>
  </si>
  <si>
    <t xml:space="preserve">AIRE ACONDICIONADO MINISPLIT MODELO SETCX261 J 26000 BTUS SOLO FRIO </t>
  </si>
  <si>
    <t>SILLA RACING DYNAMIC</t>
  </si>
  <si>
    <t>MINISPLIT  MODELO SETCMF261N INVERTER 24000 BTUS</t>
  </si>
  <si>
    <t>1  MINISPLIT MOD. MTMM124CDB12 24000 BTU SIL</t>
  </si>
  <si>
    <t>1  MINISPLIT MOD. SETCMF121N  INVERTER 12000 BTUSm</t>
  </si>
  <si>
    <t xml:space="preserve">SILLAS CON PALETA TIPO UNIVERSITARIA DE MADERA </t>
  </si>
  <si>
    <t xml:space="preserve">   BUTACA UNIVERSITARIA </t>
  </si>
  <si>
    <t xml:space="preserve"> VIDEOPROYECTOR POWER LITE                                                MODELO VS250  PROYECTORES MULTIMEDIA </t>
  </si>
  <si>
    <t>SILLA GENOVA</t>
  </si>
  <si>
    <t>MINI SPLIT FREYVEN INVERTER  2 TON 220V</t>
  </si>
  <si>
    <t xml:space="preserve">AIRE MINI SPLIT  MODELO MTMMI24CDBI2  24000BTU SIL </t>
  </si>
  <si>
    <t xml:space="preserve">AIRE MINI SPLIT  MODELO MTMMI18CDBI3  </t>
  </si>
  <si>
    <t xml:space="preserve"> IMPRESORA DE MÚLTIPLES FUNCIONES </t>
  </si>
  <si>
    <t>75 SILLAS BEIGE</t>
  </si>
  <si>
    <t xml:space="preserve">25 SILLAS CON PALETA TIPO UNIVERSITARIA DE MADERA </t>
  </si>
  <si>
    <t>AIRE ACONDICIONADO TIPO MINI SPLIT  MODELO ASW-24B2/FFR1</t>
  </si>
  <si>
    <t>AIRE ACONDICIONADO TIPO MINI SPLIT  MODELO ASW-18B21NV/SS</t>
  </si>
  <si>
    <t>AIRE ACONDICIONADO TIPO MINI SPLIT  MODELO ASW-18B2INV/SS</t>
  </si>
  <si>
    <t xml:space="preserve">  ESCRITORIOS METÁLICOS CON CUBIERTA DE MELANINA DE DOS GAVETAS UNA LAPICERA Y OTRO PARA ARCHIVO TAMAÑO OFICIO. CON MEDIDAS DE 1.20 METROS DE LARGA X .60 DE FONDO X .75 DE ALTO </t>
  </si>
  <si>
    <t xml:space="preserve"> ESCRITORIOS METÁLICOS CON CUBIERTA DE MELANINA DE DOS GAVETAS UNA LAPICERA Y OTRO PARA ARCHIVO TAMAÑO OFICIO. CON MEDIDAS DE 1.20 METROS DE LARGA X .60 DE FONDO X .75 DE ALTO </t>
  </si>
  <si>
    <t xml:space="preserve">ARCHIVEROS DE 4 GAVETAS CALIBRE .22 EN COLOR ARENA  </t>
  </si>
  <si>
    <t xml:space="preserve">ESCRITORIO METÁLICO CON CUBIERTA DE MELANINA DE 2 GAVETAS, UNA PARA  LAPICERA Y OTRA PARA ARCHIVO TAMAÑO OFICIO. CON MEDIDAS DE 1.20 M. DE LARGO X .60 DE FONDO X.75 DE ALTO </t>
  </si>
  <si>
    <r>
      <t xml:space="preserve">Enfriador  modelo: </t>
    </r>
    <r>
      <rPr>
        <b/>
        <sz val="8"/>
        <rFont val="Tahoma"/>
        <family val="2"/>
      </rPr>
      <t>EMDPCCB</t>
    </r>
    <r>
      <rPr>
        <sz val="8"/>
        <rFont val="Tahoma"/>
        <family val="2"/>
      </rPr>
      <t xml:space="preserve"> top load </t>
    </r>
  </si>
  <si>
    <t xml:space="preserve">SILLAS CON PALETA TIPO UNIVERSITARIA </t>
  </si>
  <si>
    <t>ESCRITORIO METALICO, CON CUBIERTA DE MELAMINA CAL. 28</t>
  </si>
  <si>
    <t>LDC PROJECTOR MODELO H838A</t>
  </si>
  <si>
    <t>LDC PROJECTOR MODELO: H690A</t>
  </si>
  <si>
    <t>LCD PROJECTOR MODELO H690A</t>
  </si>
  <si>
    <t>SILLAS CON PALETA TIPO UNIVERSITARIA</t>
  </si>
  <si>
    <t xml:space="preserve">BUTACAS CON PALETA DE MADERA Y ESTRUCTURA METALICA </t>
  </si>
  <si>
    <t xml:space="preserve">BANCA CROMADA DE 3 PLAZAS </t>
  </si>
  <si>
    <t>REFRIGERADOR MODELO ARPO7TXL COLOR ALMENDRA</t>
  </si>
  <si>
    <t>1-NS520 UNIDAD DE EXTENCION 0 LN 16 EXTENCIONES  1.- NS5130 TARJETA DE INTERCONEXCION 1.- NS5174X DE 16 EXTENCIONES UNILINEA  MODELO No. KX-NS520LA</t>
  </si>
  <si>
    <t>IMPRESORA MULTIFUNCIONAL Color Laser Jet MFP M281 Fdw (PRO M281FDW)</t>
  </si>
  <si>
    <t>IMPRESORA Laser Jet Pro M15w</t>
  </si>
  <si>
    <t>COJINES SENCILLOS PARA SILLAS TIFANNY COLOR BLANCO.</t>
  </si>
  <si>
    <t>MESA TIFFANY DE FIBRA DE VIDRIO 1.5 METROS. Y MANTELES TERGAL PARA MESA 1.5 METROS.</t>
  </si>
  <si>
    <t>AIRE MINISPLIT INVERTER MODELO ASW- H36B21NV/SS 220 V</t>
  </si>
  <si>
    <t>IMPRESORA L120 Printer</t>
  </si>
  <si>
    <t xml:space="preserve">IMPRESORA </t>
  </si>
  <si>
    <t>AIRE MINISPLIT INVERTER MODELO MMI12CAMME8 INVERTER GRIS 1 TONELADA</t>
  </si>
  <si>
    <t>SILLON EJECUTIVO</t>
  </si>
  <si>
    <t>AIRE MINIS PLIT MODELO MM124CDBWCA6ME8/CA6MI8 INV 24 K BTU</t>
  </si>
  <si>
    <t xml:space="preserve">AIRE MINISPLIT INVERTER MODELO  ASW12A2INV/SS 220 V  VERDE C </t>
  </si>
  <si>
    <t>AIRE MINIS PLIT MODELO MM124CDBWCAAXME8 INV.24 K</t>
  </si>
  <si>
    <t>AIRE MINISPLIT INVERTER MODELO ASW12A2INV/SS 220 NE</t>
  </si>
  <si>
    <r>
      <t>MESA PARA COMPUTADORA 1.20 X 60 CM</t>
    </r>
    <r>
      <rPr>
        <b/>
        <sz val="9.5"/>
        <rFont val="Arial"/>
        <family val="2"/>
      </rPr>
      <t xml:space="preserve"> </t>
    </r>
    <r>
      <rPr>
        <sz val="8"/>
        <rFont val="Arial"/>
        <family val="2"/>
      </rPr>
      <t>( CON MESITA SUPERIOR )</t>
    </r>
  </si>
  <si>
    <t>151202011230110010012</t>
  </si>
  <si>
    <t>CAMIONETA NISSAN MODELO 2014 NP300 CHASIS CAB T.M D/HIDRA.VER. ESPE. COLOR BLANCO</t>
  </si>
  <si>
    <t>CAMIONETA NISSAN MODELO 2000 CHASIS LARGO STD. D/H COLOR BLANCO</t>
  </si>
  <si>
    <t>AUTOMOVIL NISSAN MODELO 2017 VERSA ADVANCE COLOR BLANCO</t>
  </si>
  <si>
    <t>CAMIONETA CRV MODELO 2011</t>
  </si>
  <si>
    <t>AUTOBUS SCANIA IRIZAR MODELO 2009</t>
  </si>
  <si>
    <t>AUTOMOVIL COLOR BLANCO CANDY TIPO JETTA MODELO 2009</t>
  </si>
  <si>
    <t>AUTOMOVIL COLOR BLANCO  CANDY TIPO JETTA  MODELO 2012</t>
  </si>
  <si>
    <t>SPRINTER MODELO 2012</t>
  </si>
  <si>
    <t>AUTOMOVIL COLOR BLANCO TIPO JETTA MODELO 2014</t>
  </si>
  <si>
    <t>CAMIONETA JOURNEY MODELO 2014</t>
  </si>
  <si>
    <t>CR-V-5 PUERTAS 2015</t>
  </si>
  <si>
    <t>OSCILOSCOPIO DE DOBLE TRAZO</t>
  </si>
  <si>
    <t>SIERRA  ELECTRICA PARA CARNE ELECTRICA</t>
  </si>
  <si>
    <t>MODULO DE SISTEMA ELECTRICO AUTOMOTRIZ</t>
  </si>
  <si>
    <t>ABRIDOR ASEPTICO DE LATAS Y ALACITAS</t>
  </si>
  <si>
    <t>SISTEMA DE ENTRENAMIENTO EN ENERGIA SOLAR/EOLICA MODELO 46120-02 QUE INCLUYE MATERIAL Y CONSUMIBLES SEGUN FACTURA  A-315</t>
  </si>
  <si>
    <t>SOPLADORA STIHL MOD. BR200</t>
  </si>
  <si>
    <t>151202011230110010010</t>
  </si>
  <si>
    <t>SILLAS TIFANNY DE RESINA EN COLOR BLANCO. INCLUYE LOS  4 PZA. REGATONES</t>
  </si>
  <si>
    <r>
      <t xml:space="preserve">Nombre del Ente: </t>
    </r>
    <r>
      <rPr>
        <b/>
        <u/>
        <sz val="11"/>
        <rFont val="Arial"/>
        <family val="2"/>
      </rPr>
      <t>Universidad Tecnológica De La Costa Grande De Guerrero</t>
    </r>
    <r>
      <rPr>
        <b/>
        <sz val="11"/>
        <rFont val="Arial"/>
        <family val="2"/>
      </rPr>
      <t xml:space="preserve">  </t>
    </r>
  </si>
  <si>
    <r>
      <t xml:space="preserve">Nombre del Ente: </t>
    </r>
    <r>
      <rPr>
        <b/>
        <u/>
        <sz val="11"/>
        <rFont val="Arial"/>
        <family val="2"/>
      </rPr>
      <t>Universidad Tecnológica De La Costa Grande De Guerrero</t>
    </r>
  </si>
  <si>
    <t>151202011230110010007</t>
  </si>
  <si>
    <r>
      <t>Nombre del Ente:</t>
    </r>
    <r>
      <rPr>
        <b/>
        <u/>
        <sz val="11"/>
        <rFont val="Arial"/>
        <family val="2"/>
      </rPr>
      <t xml:space="preserve"> Universidad Tecnológica De La Costa Grande De Guerrero</t>
    </r>
  </si>
  <si>
    <t>151202011230110010002</t>
  </si>
  <si>
    <t>ASPEL COI WIN 1 USER EDUCATIVO</t>
  </si>
  <si>
    <t>ASPEL NOI  WIN 1 USER EDUCATIVO</t>
  </si>
  <si>
    <t>ASPEL SAEWIN 1 USER EDUCATIVO</t>
  </si>
  <si>
    <t>ASPEL PRODWIN 1 USER EDUCATIVO</t>
  </si>
  <si>
    <t>ASPEL BCOWIN 1 USER EDUCATIVO</t>
  </si>
  <si>
    <t>CONCENTRADOR DE 16 PUERTOS 3 COM.</t>
  </si>
  <si>
    <t xml:space="preserve">COMPUTADORA DE ESCRITORIO </t>
  </si>
  <si>
    <t>SERVIDOR PROLIANT</t>
  </si>
  <si>
    <t>COMPUTADORA HP COMPAQ DC 7700</t>
  </si>
  <si>
    <t>COMPUTADORA DE ESCRITORIO HP COMPAQ DC 7700</t>
  </si>
  <si>
    <t>COMPUTADORA DE ESCRITORIO COMPAQ DC 7900</t>
  </si>
  <si>
    <t>COMPUTADORA HP COMPAQ DC 7700 Compaq dc 7700</t>
  </si>
  <si>
    <t>COMPUTADORA IMAC 24 LCD/2,16</t>
  </si>
  <si>
    <t>SPSS PARA WINDOWS BASICO</t>
  </si>
  <si>
    <t>COMPUTADORA</t>
  </si>
  <si>
    <t>COMPUTADORA PORTATIL LAPTOP CON PROCESADOR INTEL CORE 2 DUO (1,56Ghz/667 Mhz FSB) WINDOWS VISTA PANTALLA AMPLIA 17" MEMORIA DE 2 GB SDRAM DDR2 a 667 MHZ, 2 DIMMS. COMBO QUEMADOR DE DVDs /CDs+/-RW</t>
  </si>
  <si>
    <t>MICROSOFF PROYECT EN ESPAÑOL ULTIMA VERSION  ACAD OFFICE PRO 2007 WIN 32 CROM ESP CD</t>
  </si>
  <si>
    <t>MICROSOFF PROYECT EN ESPAÑOL ULTIMA VERSION  ACAD  PROYECT 2007 WIN 32 CROM ESP CD</t>
  </si>
  <si>
    <t>COREL DRAW X3 EN ESPAÑOL ULTIMA VERSION</t>
  </si>
  <si>
    <t>MICROSOFT OFFICE PROFESIONAL 2007</t>
  </si>
  <si>
    <t>COMPUTADORA HP DC7800, INTEL CORE 2 DUO E6750, 2,66GHZ, 160GB DD, 2 GB RAM, UNIDAD COMBO, WINDOWS XP PRO, OFICE PRO ACAD, ANTIVIRUS SYMANTEC ACAD Y MONITOR LCD W17E DE 17"</t>
  </si>
  <si>
    <t>COMPUTADORA PERSONAL DC7800, INTEL CORE 2 DUO E6750, 2,66GHZ, 160GB DD, 2 GB RAM, UNIDAD COMBO, WINDOWS XP PRO, OFICE PRO ACAD, ANTIVIRUS SYMANTEC ACAD Y MONITOR LCD W17E DE 17"</t>
  </si>
  <si>
    <t>REPRODUCTOR DE  DVD</t>
  </si>
  <si>
    <t>COMPUTADORA DE ESCRITORIO MODELO  Compaq DC 7800</t>
  </si>
  <si>
    <t>COMPUTADORA DE ESCRITORIO HP COMPAQ DC 7800</t>
  </si>
  <si>
    <t>COMPUTADORA DE ESCRTORIO  Compac  dc 7800</t>
  </si>
  <si>
    <t>COMPUTADORA DE ESCRTORIO DC 7800</t>
  </si>
  <si>
    <t>COMPUTADORA DE ESCRTORIO  DC7800</t>
  </si>
  <si>
    <t xml:space="preserve">COMPUTADORA DE ESCRTORIO </t>
  </si>
  <si>
    <t>COMPUTADORA DE ESCRTORIO  DC 7800</t>
  </si>
  <si>
    <t>COMPUTADORA DE ESCRITORIO</t>
  </si>
  <si>
    <t>COMPUTADORA DE ESCRITORIO  DC7800</t>
  </si>
  <si>
    <t>COMPUTADORA DE ESCRITORIO Compaq dc 7700</t>
  </si>
  <si>
    <t>COMPUTADORA DE ESCRITORIO DC7800</t>
  </si>
  <si>
    <t>COMPUTADORA DE ESCRITORIO  Compaq dc 7800</t>
  </si>
  <si>
    <t>TELEVISION 26" PANTALLA PLANA</t>
  </si>
  <si>
    <t>COMPUTADORA PORTATIL LAPTOP</t>
  </si>
  <si>
    <t>COMPUTADORA DE ESCRITORIO Conpaq  dc 7800</t>
  </si>
  <si>
    <t>COMPUTADORA DE ESCRITORIO  Compaq dc 7700</t>
  </si>
  <si>
    <t>MICROSOFT WINDOWS VISTA HOME BASIC.  PAQ. 27 LIC.</t>
  </si>
  <si>
    <t>INTECPLAN SOFTWARE PARA FORMULACION DE PROYECTOS. PAQ. 27 LICENCIAS</t>
  </si>
  <si>
    <t>MINI COMPONENTE</t>
  </si>
  <si>
    <t>SAE LICENCIA EDUCATIVA</t>
  </si>
  <si>
    <t>COI LICENCIA EDUCATIVA</t>
  </si>
  <si>
    <t>NOI LICENCIA EDUCATIVA</t>
  </si>
  <si>
    <t>PROD LICENCIA EDUCATIVA</t>
  </si>
  <si>
    <t>CAJA LICENCIA EDUCATIVA</t>
  </si>
  <si>
    <t>PRESENTADOR INALAMBRICO</t>
  </si>
  <si>
    <t>CAÑON PROYECTOR</t>
  </si>
  <si>
    <t>SPSS PARA WINDOWS BASICO ( RED 4 USUARIOS)</t>
  </si>
  <si>
    <t>MULTIFUNCIONAL WORCENTRE 5020DB</t>
  </si>
  <si>
    <t>ACCES POIN ESTANDAR ACCESS POINT (LINKSIYS</t>
  </si>
  <si>
    <t>ADAPTADOR INALAMBRICO COMPACTO USB</t>
  </si>
  <si>
    <t>COMPUTADORA Compac dc 7700</t>
  </si>
  <si>
    <t>COMPUTADORA DE ESCRITORIO  Modelo Compaq 500B mt</t>
  </si>
  <si>
    <t>COMPUTADORA PORTATIL (LAPTOP)</t>
  </si>
  <si>
    <t xml:space="preserve">IMPRESORA MULTIFUNCIONAL LASERJET  </t>
  </si>
  <si>
    <t xml:space="preserve">SISTEMA CLASS </t>
  </si>
  <si>
    <t>SOFWARE ESPECIALIZADO  PLAN DE NEGOCIOS</t>
  </si>
  <si>
    <t>SOFTWARE PARA RECLUTAMIENTO Y SELECCIÒN DE PERSONAL</t>
  </si>
  <si>
    <t>COMPUTADORA DE ESCRITORIO Pavilon Slimline   Modelo s5500la</t>
  </si>
  <si>
    <t xml:space="preserve">COMPUTADORA DE ESCRITORIO Pavilon Slimline   Modelo s5500la </t>
  </si>
  <si>
    <t>COMPUTADORA DE ESCRITORIO,  SISTEMA  OPERATIVO WINDOWS 10, PROCESADOR  INTEL CORE i5</t>
  </si>
  <si>
    <t>COMPUTADORA DE ESCRITORIO Modelo s 5500 la Pc</t>
  </si>
  <si>
    <t>COMPUTADORA PAVILLON 97-1108LA C17 2DA GENERACION 8 GB 2T WIFI,BLUE-RAY WINDOWS 7 PROFESIONAL, MONITOR LED PAVILLION HP2011 XMNTR SLIM CON BOCINAS INCLUIDAS INCLUYE LICENCIA OFFICE 2010 AND STUDENT)</t>
  </si>
  <si>
    <t>LAP TOP PAVILLION DV4 -4080LA , 4 GB EN RAM,500 GB EN DISCO DURO Y WINDOWS 7 HP</t>
  </si>
  <si>
    <t>APUNTADOR LASER MOUSE OPTICO INTEGRADO INALAMBRICO CON RECEPTOR USB. OCULTO TECNOLOGIA DE INFRARROJOS HASTA 10 METROS,TECLAS DE FUNCION PAGE DOWN,RE PAG. ESCUCHAR Y PUNTERO LASER, PARA USO CON WINDOWS 98/XP/VISTA/8</t>
  </si>
  <si>
    <t>PROYECTOR POWER LITE MOD X14 DE 3000 LUMENES CON RESOLUCION XGA X 768</t>
  </si>
  <si>
    <t>COMPUTADORA PORTATIL LAP TOP PAVILLION DV4/4080LA,4GB EN RAM,500 GB EN DISCO DURO Y WINDOWS 7HP</t>
  </si>
  <si>
    <t>MULTIFUNSIONAL XEROX WORKCENTRE 4250XD 45 PPM MONOCROMATICA IMPRESORA,COPIADORA,ESCANER,RED Y FAX</t>
  </si>
  <si>
    <t>SISTEMA LABSAG VERSION 4.0 INGENIERIA LICENCIA EN ESPAÑOL POR 5 AÑOS UNA FACULTAD Y UN CAMPUS. 5 SIMULADORES,PRODUCCION ,LOGISTICA,MACROECONOMIA, GERENCIA GENERAL Y FINANZAS</t>
  </si>
  <si>
    <t>VIATICOS POR INSTALACION Y PUESTA EN MARCHA DEL LABORATORIO DE SIMULACION DE ADMINISTRACION Y GERENCIA LABSAG</t>
  </si>
  <si>
    <t>SISTEMA DE LABORATORIO DE IDIOMAS 1+30 INCLUYE LICENCIAMIENTO CON SISTEMA DE TRANSMISION DE VIDEO EN TIEMPO REAL MEDIOS AUDIOVISUALES CON TARJETA CODIFICADORA(HEWLETT PACKARD Y DELL)</t>
  </si>
  <si>
    <t>LICENCIAS DE GRAVADORA VIRTUAL</t>
  </si>
  <si>
    <t>CONTROLADOR DE DISPOSITIVO DE AUDIO Y VIDEO</t>
  </si>
  <si>
    <t>MICROFONO AUDIFONO,TIPO DIADEMA 31 piezas)</t>
  </si>
  <si>
    <t>COMPUTADORAS PARA ALUMNOS</t>
  </si>
  <si>
    <t>SERVIDOR Y WINDOWS SERVER 2008 STD VERSION ACADEMICA MICROSOFT</t>
  </si>
  <si>
    <t>SOFTWARE INTERACTIVO DE INGLES CON NIVELES PRINCIPIANTE/INTERMEDIO/INTERMEDIO AVANZADO/COMERCIAL (31 LICENCIAS AURALOG INGLES)</t>
  </si>
  <si>
    <t>SOFTWARE INTERACTIVO DE INGLES CON NIVELES PRINCIPIANTE/INTERMEDIO/INTERMEDIO AVANZADO/COMERCIAL (31 LICENCIAS AURALOGFRANCES)</t>
  </si>
  <si>
    <t>CAMARA DOCUMENTAL</t>
  </si>
  <si>
    <t xml:space="preserve">MATERIAL DE INSTALACION RACK DE 4 CHAROLAS CABLEADO,ROSETAS,CONECTORES,PACHT CORDS CANALETA(KIT DE INSTALACION </t>
  </si>
  <si>
    <t>LAPTOP</t>
  </si>
  <si>
    <t>VIDEOPROYECTOR</t>
  </si>
  <si>
    <t>SOPORTE PARA VIDEOPROYECTOR</t>
  </si>
  <si>
    <t>DIADEMA LOGITECH</t>
  </si>
  <si>
    <t>ADQUISICION DE PLATAFORMA TELL ME MORE EN LINEA,(LICENCIAS TELL ME MORE ON LINE 10, SERVICIO DE ADMINISTRACION DE PLATAFORMA,CAPACITACION Y ASISTENCIA A ADMINISTRADORES Y TUTORES) DE ACUERDO AL CONTRATO DE ADQUISICION DE DICIEMBRE 2013</t>
  </si>
  <si>
    <t>LABORATORIO DE AUTOMATIZACION ANTICIPO DEL CINCUENTA PORCIENTO DE 3  SISTEMA DE ENTRENAMIENTO EN CONTROLADOR LOGICO PROGRAMABLE (PLC) QUE INCLUYE LO SIGUIENTE(ALLEN BRADLEY MICROLOGIS 1200) MOD 3240-40 1 CONTROLADOR LOGICO PROGRAMABLE MOD 3245-A2  ,1 MICROLOGIX 1200 14 ENTRADAS  Y 10 SALIDAS,1 SOFWARE, 1 SOFWARE PARA CIONTROLADOR LOGICO PROGRAMABLE MOD. 3245-A2, 1 CABLE DE PROGRAMACION USB MOD. M3246-40, 1 MANUAL DE ESTUDIANTE MOD 36017-00, 1 GUIA DE INSTRUCTOR, 1 INCLUYE 12 INTERRUPTORES PARA INSERTAR FALLAS MOD 36017 -10 , NOTA INCLUYE INSTALACION,CAPACITACION Y PUESTA EN MARCHA.</t>
  </si>
  <si>
    <t>PAGO DE CINCUENTA PORCIENTO RESTANTE  DE SOFWARE ANSYS</t>
  </si>
  <si>
    <t>LABORATORIO MOVIL INCLUYE CADA UNO 1 CARRO DE TRANSPORTE Y ALMACENAJE Y CARGA PARA LABORATORIO MOVIL ,30 LAPTOS PROCESADOR INTEL CORE 17,WINDOWA,MEMORIA RAM DE 8 GB DISCO DURO DE 500 GB, I COMPLEMENTOS DE LABORATORIO DELL PROYECTOR INTERACTIVO DE TIPO CORTO+WIFI+SONIDO+CISCO RED LOCAL WIFI</t>
  </si>
  <si>
    <t>PAQUETE DE 30 LICENCIAS CORELDRAW CGRAPHICS SUITE X6 EDUCATION LICENSE</t>
  </si>
  <si>
    <t>CONSOLE CABLE 6FT RJA45 AND DB9F</t>
  </si>
  <si>
    <t>CONSOLE CABLE 6F WITH USB TYPE A AND MINI -B</t>
  </si>
  <si>
    <t>V.35 CABLE DCE FEMALE TO SMART SERIAL 10 FT</t>
  </si>
  <si>
    <t>V.35 CABLE DCE MALE TO SMART SERIAL 10 FT</t>
  </si>
  <si>
    <t>CISCO 2901 W/2 GE,4 EHWIC 2 DSP 256MB CF 512MBDRAM IP BASE</t>
  </si>
  <si>
    <t>2 PORT SERIAL WAN INTERFACE CARD</t>
  </si>
  <si>
    <t>CATALYST 2960 24-10/100+2 1000BT LAN BASE IMAGE</t>
  </si>
  <si>
    <t>SMBS 8X5XNBD CATALYS  296024 10 /100 +2 1000BT LAN BASE IMAGE</t>
  </si>
  <si>
    <t>SMARTNET 8X5XNBD CISCO 2901</t>
  </si>
  <si>
    <t>CARRO DE TRANSPORTE Y CARGA PARA LABORATORIO MOVIL</t>
  </si>
  <si>
    <t>LAPTOP DELL INSPIRON 15 R</t>
  </si>
  <si>
    <t>ACCES POINT</t>
  </si>
  <si>
    <t>BOCINAS LOGITECH 2.1 Z-313 25W DE RMS</t>
  </si>
  <si>
    <t>APUNTADOR LASER MOUSE OPTICO INTEGRADO INALAMBRICO CON RECEPTOR USB. OCULTO TECNOLOGIA DE INFRARROJOS HASTA 10 METROS,TECLAS DE FUNCION PAGE DOWN,RE PAG. ESCUCHAR Y PUNTERO LASER, PARA USO CON WINDOWS 98/XP/VISTA/8 MODEL R400</t>
  </si>
  <si>
    <t>PROYECTOR POWERLITE S18+</t>
  </si>
  <si>
    <t xml:space="preserve"> PC All in One Pavilion (HP-ALL-F3F27AA)</t>
  </si>
  <si>
    <t xml:space="preserve">LAPTOP  IDEAPAD S400 TOUCH, COLOR NEGRO, INTEL 1007U 1.5 G, 4G RAM, </t>
  </si>
  <si>
    <t>COMPUTADORA HP MOD. 280 G1 BUSINESS</t>
  </si>
  <si>
    <t>COMPUTADORA DE ESCRITORIO     ALL IN ONE  MODELO 20-C006LA COREi 13, WIDOS  10</t>
  </si>
  <si>
    <t xml:space="preserve">Computadora Monousuario Desktop 400 G3 5FF Procesador Intel Core i5 6500 (hasta 3.6 GHz), Memoria  de 4GB ddr4, Disco Duro de 500GB, Video Intel HD Graphics 530, Unidad Óptica DVD= R/RW, Windows 10 Pro/Windows 7 Pro  </t>
  </si>
  <si>
    <t>LAPTOP  ,SISTEMAS OPERARTIVOS WINDOWS 10,MODELO 240 GA DISCO DURO  1TB ,RAM 8GB. PROCESADOR COREi3</t>
  </si>
  <si>
    <t>IMAN 21.5"/CTO</t>
  </si>
  <si>
    <t>CISCO Router con firewall ASA  5515 -K8 Ipec Vpn Edition, Alambrico, 1200 Mbit/s, 6x RJ-45</t>
  </si>
  <si>
    <t>CISCO Router con firewall ASA  5515 -K8 Ipec Vpn Edition, Alambrico, 1200 Mbit/s, 6x RJ-49</t>
  </si>
  <si>
    <t>CISCO Router con firewall ASA  5515 -K8 Ipec Vpn Edition, Alambrico, 1200 Mbit/s, 6x RJ-50</t>
  </si>
  <si>
    <t>CISCO Router con firewall ASA  5515 -K8 Ipec Vpn Edition, Alambrico, 1200 Mbit/s, 6x RJ-51</t>
  </si>
  <si>
    <t>CISCO Router con firewall ASA  5515 -K8 Ipec Vpn Edition, Alambrico, 1200 Mbit/s, 6x RJ-52</t>
  </si>
  <si>
    <t>CISCO Router con firewall ASA  5515 -K8 Ipec Vpn Edition, Alambrico, 1200 Mbit/s, 6x RJ-53</t>
  </si>
  <si>
    <t>7 DISPOSITIVOS DE RED ACTUALIZADOS, PARA  LA COMUNIDAD UNIVERSITARIA PUERTOS GIGABITS</t>
  </si>
  <si>
    <t xml:space="preserve"> 7 DISPOSITIVOS  DE RED ACTUALIZADOS, PARA LA COMUNIDAD UNIVERSITARIA, MODULOS DE RED PARA ESTABILIDAD EN CADA UNO DE LOS NODOS DE RED </t>
  </si>
  <si>
    <t>EQUIPAMIENTO PARA EL PROGRAMA EDUCATIVO  OPERACIONES COMERCIALES ( 1 LABORATORIO MOVIL) QUE INCLUYE.                                                                                                                               1 SISTEMA DE RED LOCAL Y UN PUNTO DE ACCESO INALABRICO CISCO (PORTATIL)</t>
  </si>
  <si>
    <t>1 EQUIPAMIENTO PARA EL PROGRAMA EDUCATIVO OPERACIONES COMERCIALES   (1 LABORATORIO MOVIL) QUE INCLUY E.                                                                                                                                        1 CARRO DE TRANSPOTE, ALMACENAJE Y CAGA PARA LOBORATORIO MOVIL</t>
  </si>
  <si>
    <t>1 EQUIPAMIENTO PARA EL PROGRAMA EDUCATIVO OPERACIONES COMERCIALES   (1 LABORATORIO MOVIL) QUE INCLUY E.                                                                                                                                        1 0 LAPTOP MARCA DELL DE ULTIMA GENERACION COMPATIBLE, CON CARRO DE TRASLADO</t>
  </si>
  <si>
    <t xml:space="preserve">1 CISCO Gigabit Ethernet Router 2901 Voice Bundle con PVDM3-16, Álambrico, 2x RJ-45, 2x USB </t>
  </si>
  <si>
    <t>GABINETES PARA MONTAGE EN PARED C/EQUIPO 1 CISCO  (1 CISCO Gigabit Ethernet Switch Catalyst 2960-XR, 10/100/1000  Mbps, 216 Gbit/s, 24 Puertos- )</t>
  </si>
  <si>
    <t>GABINETES PARA MONTAGE EN PARED C/EQUIPO  (1 CISCO Gigabit Ethernet Switch Catalyst 2960-XR, 10/100/1000  Mbps, 216 Gbit/s, 24 Puertos- Gestionado</t>
  </si>
  <si>
    <t>1 CISCO Gigabit Ethernet Switch Catalyst 2960-XR, 10/100/1000  Mbps, 216 Gbit/s, 24 Puertos- Gestionado</t>
  </si>
  <si>
    <t>COMPUTADORA PORTATIL (LAPTOP)  PROCESADOR CORE 13, DISCO DURO DE 1TB, MEMORIA RAM DE 4GB</t>
  </si>
  <si>
    <t xml:space="preserve"> US-8-150W,UniFi Switch, 8-Port,  150w  </t>
  </si>
  <si>
    <t>UAP- AC-PRO, UniFi AP AC PRO 802, 11 a/b/g/n/ac                                                    (ACCES POINT   MODELO AP AC PRO)</t>
  </si>
  <si>
    <t xml:space="preserve">US-16-150W, UniFi Swich, 16Port, 150                                                                                        (Switch  MODELO US-16-150W)   </t>
  </si>
  <si>
    <t xml:space="preserve">UBNUAPACPRO5 UNIFI AP AC PRO 802, 11ac PRO  EN PACK DE 5 </t>
  </si>
  <si>
    <r>
      <t xml:space="preserve">ACCES POINT  MODELO AP AC PRO  </t>
    </r>
    <r>
      <rPr>
        <sz val="8"/>
        <rFont val="Arial"/>
        <family val="2"/>
      </rPr>
      <t xml:space="preserve"> ( UBNUAPACPRO5 UNIFI AP AC PRO 802, 11ac PRO  EN PACK DE 5 )</t>
    </r>
  </si>
  <si>
    <t>UBNUAPACPRO5 UNIFI AP AC PRO 802, 11ac PRO  EN PACK DE 6</t>
  </si>
  <si>
    <t>UBNUAPACPRO5 UNIFI AP AC PRO 802, 11ac PRO  EN PACK DE 7</t>
  </si>
  <si>
    <t>UBNUAPACPRO5 UNIFI AP AC PRO 802, 11ac PRO  EN PACK DE 8</t>
  </si>
  <si>
    <t>UBNUAPACPRO5 UNIFI AP AC PRO 802, 11ac PRO  EN PACK DE 9</t>
  </si>
  <si>
    <t>UBNUAPACPRO5 UNIFI AP AC PRO 802, 11ac PRO  EN PACK DE 10</t>
  </si>
  <si>
    <t>UBNUAPACPRO5 UNIFI AP AC PRO 802, 11ac PRO  EN PACK DE 11</t>
  </si>
  <si>
    <t>UBNUAPACPRO5 UNIFI AP AC PRO 802, 11ac PRO  EN PACK DE 12</t>
  </si>
  <si>
    <t>UBNUAPACPRO5 UNIFI AP AC PRO 802, 11ac PRO  EN PACK DE 13</t>
  </si>
  <si>
    <t>UBNUAPACPRO5 UNIFI AP AC PRO 802, 11ac PRO  EN PACK DE 14</t>
  </si>
  <si>
    <t>UBNUAPACPRO5 UNIFI AP AC PRO 802, 11ac PRO  EN PACK DE 15</t>
  </si>
  <si>
    <t>UBNUAPACPRO5 UNIFI AP AC PRO 802, 11ac PRO  EN PACK DE 16</t>
  </si>
  <si>
    <t>UBNUAPACPRO5 UNIFI AP AC PRO 802, 11ac PRO  EN PACK DE 17</t>
  </si>
  <si>
    <t>UBNUAPACPRO5 UNIFI AP AC PRO 802, 11ac PRO  EN PACK DE 18</t>
  </si>
  <si>
    <t>UBNUAPACPRO5 UNIFI AP AC PRO 802, 11ac PRO  EN PACK DE 19</t>
  </si>
  <si>
    <t>UBNUAPACPRO5 UNIFI AP AC PRO 802, 11ac PRO  EN PACK DE 20</t>
  </si>
  <si>
    <t>UBNUAPACPRO5 UNIFI AP AC PRO 802, 11ac PRO  EN PACK DE 21</t>
  </si>
  <si>
    <t>UBNUAPACPRO5 UNIFI AP AC PRO 802, 11ac PRO  EN PACK DE 22</t>
  </si>
  <si>
    <t>UBNUAPACPRO5 UNIFI AP AC PRO 802, 11ac PRO  EN PACK DE 23</t>
  </si>
  <si>
    <t>UBNUAPACPRO5 UNIFI AP AC PRO 802, 11ac PRO  EN PACK DE 24</t>
  </si>
  <si>
    <t>CAÑÓN PROYECTOR   PL518+ POWER LITE S27 SVGA 3LCD 2.700 LUMENES</t>
  </si>
  <si>
    <t>CAÑÓN PROYECTOR   X14+ POWER LITE S27 SVGA 3LCD 2.700 LUMENES</t>
  </si>
  <si>
    <t>COMPUTADORA POTATIL (LAPTOP)</t>
  </si>
  <si>
    <t>PC MODELO VOSTRO 3470 PROCESADOR: COREI7</t>
  </si>
  <si>
    <t>PROJECTOR MODELO POWERLITE 539</t>
  </si>
  <si>
    <t>LAPTOP MODELO IDEAPAD 330S-14IKB DISCO DURO 1TB, RAM 8GB, PROCESADOR INTEL CORE i7 , WINDOWS 10</t>
  </si>
  <si>
    <t>COMPUTADORA DE ESCRITORIO DE HP CORE i7 8GB 1TB DD MONITOR R DE 23.8</t>
  </si>
  <si>
    <t>COMPUTADORA DE ESCRITORIO HP CORE i3 8GB 1 TBDD MONITOR DE 23.8</t>
  </si>
  <si>
    <t>IMPRESORA LaserJet PRO  M404 N</t>
  </si>
  <si>
    <t>IMPRESORA Color Laser Jet Pro MFP M 283 dw</t>
  </si>
  <si>
    <t xml:space="preserve">IMPRESORA  LA </t>
  </si>
  <si>
    <t>Laptop Dell Inspiron 3501 15.6” HD, INTEL Core i5-1135G7  2.40GHz, 8GB, 256GB  SSD, Windows 10 Home 64-Bit, Plata</t>
  </si>
  <si>
    <t xml:space="preserve"> COMPUTADORA DE ESCRITORIO DESKTOP MODELO G 5</t>
  </si>
  <si>
    <t xml:space="preserve">Impresora láser Jet Enterprise m 507 Monocromo – 45 ppm de impresión monocolor  1200 x 1200  </t>
  </si>
  <si>
    <t>IMPRESORA A COLOR MULTIFUNCIONAL INYECCION PIXA G2110</t>
  </si>
  <si>
    <t>151202011230110010005</t>
  </si>
  <si>
    <t>MICROSCOPIO ESTROSCOPICOS C/2 OBJETIVOS</t>
  </si>
  <si>
    <t>REFRACTOMETRO ABBE 3L</t>
  </si>
  <si>
    <t>BALANZA GRANATARIA DE TRIPLE BRAZO</t>
  </si>
  <si>
    <t xml:space="preserve">ESTERILIZADOR PETRI DE ACERO </t>
  </si>
  <si>
    <t>ESTUCHE CILINDRICO PARA ESTERELIZAR</t>
  </si>
  <si>
    <t>MESA DE 4 X 4 X 1,30 X ,90 MTS.</t>
  </si>
  <si>
    <t>ESTETOSCOPIO</t>
  </si>
  <si>
    <t xml:space="preserve">ESTUCHE DE DIAGNOSTICO C/4 PZA.   </t>
  </si>
  <si>
    <t>ESTUCHE DE DISECCION C/13 PZAS.</t>
  </si>
  <si>
    <t>ELECTROCARDIOGRAFO</t>
  </si>
  <si>
    <t>MESA DE EXPLORACION CON PIERNERAS</t>
  </si>
  <si>
    <t>CHAISSE LONGUE TUBULAR</t>
  </si>
  <si>
    <t>LAMPARA DE CHICOTE P/GRANDE</t>
  </si>
  <si>
    <t>PORTASUERO RODABLE</t>
  </si>
  <si>
    <t>BANCO CROMADO DE 4 PATAS</t>
  </si>
  <si>
    <t>BUDINERA CON TAPA</t>
  </si>
  <si>
    <t>JAFAINA</t>
  </si>
  <si>
    <t>RIÑONES DE ACERO INOXIDABLE DE 500 ML.</t>
  </si>
  <si>
    <t xml:space="preserve">ESTETOSCOPIO </t>
  </si>
  <si>
    <t>ESPEJOS VAJINALES MEDIANOS</t>
  </si>
  <si>
    <t>PINZAS DE ANILLOS DE 24 CM.</t>
  </si>
  <si>
    <t>PINZAS DE MUSEUX DE 24 CMS.</t>
  </si>
  <si>
    <t>REGULADOR PARA TANQUE DE OXIGENO</t>
  </si>
  <si>
    <t>BIOMBO DE DOS HOJAS</t>
  </si>
  <si>
    <t>TANQUE FERMENTADOR PARA YOGURTH CAPACIDAD DE 100 LITROS</t>
  </si>
  <si>
    <t>CALDERA DE 2.5 H.P PARA TRABAJAR A UNA CAPACIDAD MAXIMA DE 1500 LITROS</t>
  </si>
  <si>
    <t>MESA CON CEJA PARA ECO MILK GRANDE</t>
  </si>
  <si>
    <t xml:space="preserve">SILLA DE RUEDAS ECONOMICA REACTUDE </t>
  </si>
  <si>
    <t>151202011230110010004</t>
  </si>
  <si>
    <t>PIZARRON ELECTRONICO</t>
  </si>
  <si>
    <t>FOLLETERO DE MADERA</t>
  </si>
  <si>
    <t>SILLON DE VISITAS DE TRES PLAZAS NEGRO</t>
  </si>
  <si>
    <t>BATERIA</t>
  </si>
  <si>
    <t>PINTARRONES PORCENALIZADOS</t>
  </si>
  <si>
    <t>PAQUETE DE AULA INTERACTIVA: PIZARRON  INTERACTIVO,VIDEO PROYECTOR,ENCICLOPEDIA</t>
  </si>
  <si>
    <t>BASE UNIVERSAL PARA MONTAJE VIDEOPROYECTOR</t>
  </si>
  <si>
    <t>MAQUINA DE ESCRIBIR ELECTRICA ETP-640+</t>
  </si>
  <si>
    <t>PANTALLA TRIPIE PLEGABLE 60X60"</t>
  </si>
  <si>
    <t>SALA C/SOLES 3-2-1</t>
  </si>
  <si>
    <t>HISTORIA DEL ARTE (HISTORIA UNIVERSAL DEL ARTE 12 L Y 12 DVD) 413/4774</t>
  </si>
  <si>
    <t>MUSEOS DEL MUNDO (13 DVD Y 13 LIBROS)</t>
  </si>
  <si>
    <t>EL PODER DEL LENGUAJE (8 TOMOS)</t>
  </si>
  <si>
    <t>LOS POLOS</t>
  </si>
  <si>
    <t>EVOLUCION</t>
  </si>
  <si>
    <t>EL UNIVERSO</t>
  </si>
  <si>
    <t>LA TIERRA</t>
  </si>
  <si>
    <t>LAS MONTAÑAS</t>
  </si>
  <si>
    <t>EL DESIERTO</t>
  </si>
  <si>
    <t>EL BOSQUE</t>
  </si>
  <si>
    <t>EL MAR</t>
  </si>
  <si>
    <t>LOS PECES</t>
  </si>
  <si>
    <t>SUDAMERICA</t>
  </si>
  <si>
    <t>CONDUCTA ANIMAL</t>
  </si>
  <si>
    <t>LOS PRIMATES</t>
  </si>
  <si>
    <t>LOS REPTILES</t>
  </si>
  <si>
    <t>LAS AVES</t>
  </si>
  <si>
    <t>LOS MAMIFEROS</t>
  </si>
  <si>
    <t>LAS PLANTAS</t>
  </si>
  <si>
    <t>ECOLOGIA</t>
  </si>
  <si>
    <t>EURASIA</t>
  </si>
  <si>
    <t>AUSTRALASIA</t>
  </si>
  <si>
    <t>ASIA TROPICAL</t>
  </si>
  <si>
    <t>LOS INSECTOS</t>
  </si>
  <si>
    <t>AFRICA</t>
  </si>
  <si>
    <t>EL HOMBRE PREHISTORICO</t>
  </si>
  <si>
    <t>NORTEAMERICA</t>
  </si>
  <si>
    <t>LA HISTORIA DEL SIGLOXX (LA HISTORIA DEL SIGLO XX Y LOS INICIOS DEL XXI 12 DVD^S</t>
  </si>
  <si>
    <t>IDIOMAS: FRANCES 6 DVD´S VIVA LINGUA,COMUNICACIÓN,VOCAVULARIO,GRAMATICA,CURSO I CURSO II</t>
  </si>
  <si>
    <t>ESTADÌSTICA PARA ADMINISTRACIÒN Y ECONOMÍA</t>
  </si>
  <si>
    <t>SINOPSIS DE AUDITORIA ADMINISTRATIVA</t>
  </si>
  <si>
    <t>ORGANIZACIÓN DE EMPRESAS</t>
  </si>
  <si>
    <t>ABC DEL DESARROLLO ORGANIZACIONAL</t>
  </si>
  <si>
    <t>DIAGNÓSTICO ADMINISTRATIVO</t>
  </si>
  <si>
    <t>PRÁCTICA ELEMENTAL DE AUDITORÍA</t>
  </si>
  <si>
    <t>ELEMENTOS DE AUDITORIA</t>
  </si>
  <si>
    <t>ALCANZAR LA CALIDAD TOTAL</t>
  </si>
  <si>
    <t>ADMINISTRACIÒN ESTRATÉGICA</t>
  </si>
  <si>
    <t>NEGOCIOS INTERNACIONALES</t>
  </si>
  <si>
    <t>MANUAL PARA DETERMINAR NECESIDADES DE CAPACITACIÒN</t>
  </si>
  <si>
    <t>INVESTIGACÓN DE MERCADOS</t>
  </si>
  <si>
    <t>ANÁLISIS E INTERPRETACIÓN DE ESTADOS FINANCIEROS</t>
  </si>
  <si>
    <t>CALIFICACIÓN DE MÉRITOS</t>
  </si>
  <si>
    <t>CAPACITACIÓN Y DESARROLLO DE PERSONAL</t>
  </si>
  <si>
    <t>INDUCCIÓN DEL NUEVO EMPLEADO</t>
  </si>
  <si>
    <t>EVALUACIÓN EFECTIVA DEL DESEMPEÑO</t>
  </si>
  <si>
    <t>INTRODUCCIÓN A LA TEORIA GENERAL ADMINISTRATIVA</t>
  </si>
  <si>
    <t>INTROCUCCIÓN A LA TEORIA GENERAL ADMINISTRATIVA</t>
  </si>
  <si>
    <t>PRINCIPIOS DE ADMINISTRACIÓN</t>
  </si>
  <si>
    <t>PRINCIPIOS DE ADMINISTRACIÓN FINANCIERA</t>
  </si>
  <si>
    <t>FUNDAMENTOS DE ADMINISTRACIÓN</t>
  </si>
  <si>
    <t>ADMINISTRACIÓN</t>
  </si>
  <si>
    <t>PENSAMIENTO ESTRATÉGICO</t>
  </si>
  <si>
    <t>INTRODUCCIÓN A LA ADMINISTRACIÓN</t>
  </si>
  <si>
    <t>FUNADAMENTOS DE ADMINISTRACIÓN</t>
  </si>
  <si>
    <t>METODOLOGIA DE LA INVESTIGACIÓN</t>
  </si>
  <si>
    <t>MATEMÁTICAS APLICADAS A LA ADMINISTRACIÓN</t>
  </si>
  <si>
    <t>PROCESO CONTABLE 2</t>
  </si>
  <si>
    <t>PROCESO CONTABLE 3</t>
  </si>
  <si>
    <t>PROCESO CONTABLE 4</t>
  </si>
  <si>
    <t>FUNDAMENTOS DE CONTABILIDAD</t>
  </si>
  <si>
    <t>PRIMER CURSO DE CONTABILIDAD</t>
  </si>
  <si>
    <t>SEGUNDO CURSO DE CONTABILIDAD</t>
  </si>
  <si>
    <t>INTRODUCCIÓN A LA CONTADURÍA</t>
  </si>
  <si>
    <t>CONTABILIDAD PRÁCTICA</t>
  </si>
  <si>
    <t xml:space="preserve">REDACCIÓN PARA UNIVERSITARIOS </t>
  </si>
  <si>
    <t>REDACCIÓN SIN DOLOR</t>
  </si>
  <si>
    <t>COMUNICACIÓN ORAL</t>
  </si>
  <si>
    <t>LECTURRA ANALÍTICA CRÍTICA</t>
  </si>
  <si>
    <t>REDACCIÓN</t>
  </si>
  <si>
    <t>DICCIONARIO DE LA LENGUA ESPAÑOLA</t>
  </si>
  <si>
    <t>CONJUGACIÓN.- LENGUA ESPAÑOLA-</t>
  </si>
  <si>
    <t>TALLER DE EXPRESIÓN ORAL Y ESCRITA</t>
  </si>
  <si>
    <t>GRAMÁTICA DE LA LENGUA ESPAÑOLA</t>
  </si>
  <si>
    <t>RAZONAMIENTO VERBAL.- DESARROLLO DE HABILIDADES</t>
  </si>
  <si>
    <t>ORTOGRAFÍA</t>
  </si>
  <si>
    <t>LOS VERBOS Y SU CONJUGACIÓN</t>
  </si>
  <si>
    <t>MANUAL PARA LA PRESENTACIÓN DE ANTEPROYECTOS</t>
  </si>
  <si>
    <t xml:space="preserve">COMO SE HACE UNA TESIS </t>
  </si>
  <si>
    <t xml:space="preserve">COMO HACER UNA TESIS </t>
  </si>
  <si>
    <t>ETICA DEL EJERCICIO PROFESIONAL</t>
  </si>
  <si>
    <t>ETICA PARA TODOS</t>
  </si>
  <si>
    <t>PLANEACIÓN DE VIDA Y CARRERA</t>
  </si>
  <si>
    <t>ETICA, ECONOMÍA Y EMPRESA</t>
  </si>
  <si>
    <t>ETICA.- INTRODUCCIÓN A SU PROBLEMÁTICA Y…</t>
  </si>
  <si>
    <t>INTELIGENCIA EMOCIONAL</t>
  </si>
  <si>
    <t>INTRODUCCIÓN A LA ETICA</t>
  </si>
  <si>
    <t>CODIGO DE ETICA</t>
  </si>
  <si>
    <t>RESCATE ETICO DE LA EMPRESA Y EL…</t>
  </si>
  <si>
    <t>ETICA EN LOS NEGOCIOS</t>
  </si>
  <si>
    <t xml:space="preserve">SOCIOLOGIA </t>
  </si>
  <si>
    <t>DINÁMICA SOCIAL EN LAS ORGANIZACIONES</t>
  </si>
  <si>
    <t>ASPECTOS SOCIOECONÓMICOS D/PROB. E</t>
  </si>
  <si>
    <t>CONTRATOS MERCANTILES</t>
  </si>
  <si>
    <t>DICCIONARIO DE DERECHO MERCANTIL</t>
  </si>
  <si>
    <t>DERECHO MERCANTIL</t>
  </si>
  <si>
    <t>RELACIONES HUMANAS.- COMPORTAMIENTO HUMANO</t>
  </si>
  <si>
    <t>ADMINISTRACIÓN DE RECURSOS HUMANOS</t>
  </si>
  <si>
    <t>ADMINISTRACIÓN DE LAS ORGANIZACIONES</t>
  </si>
  <si>
    <t>ADMINISTRACIÓN DE PERSONAL Y REC…</t>
  </si>
  <si>
    <t>AMPLITUD POTENCIAL DE LA NATURALEZA…</t>
  </si>
  <si>
    <t>CONTRATAR Y RETENER A LOS MEJORES…</t>
  </si>
  <si>
    <t>CONCEPTOS DE ADMINISTRACIÓN ESTRATÉGICA</t>
  </si>
  <si>
    <t>PLANEACIÓN ESTRATÉGICA.- LO QUE TODO…</t>
  </si>
  <si>
    <t>INTERPRETACIÓN DINÁMICA DE ESTADOS FINANCIEROS</t>
  </si>
  <si>
    <t>ADMINISTRACIÓN FINANCIERA</t>
  </si>
  <si>
    <t>ADMINISTRACIÓN DE LOS SISTEMAS DE PRODUCCIÓN</t>
  </si>
  <si>
    <t>INGENIERÍA INDUSTRIAL C/CD</t>
  </si>
  <si>
    <t>JURAN Y LA PLANIFICACIÓN PARA LA CALIDAD</t>
  </si>
  <si>
    <t>ADMINISTRACIÓN DE PERSONAL</t>
  </si>
  <si>
    <t>ADMINISTRACIÓN DE PERSONAL 2</t>
  </si>
  <si>
    <t>CALIDAD, PRODUCTIVIDAD Y COMPETITIVIDAD</t>
  </si>
  <si>
    <t>ADMINISTRAR PARA LA CALIDAD</t>
  </si>
  <si>
    <t>QUE ES EL CONTROL TOTAL DE CALIDAD</t>
  </si>
  <si>
    <t>PRINCIPIOS BÁSICOS DE DERECHO ECONÓMICO</t>
  </si>
  <si>
    <t>CAUSALES DE DESPIDO</t>
  </si>
  <si>
    <t>NUEVA LEY FEDERAL DEL TRABAJO</t>
  </si>
  <si>
    <t>DERECHO INDIVIDUAL DEL TRABAJO</t>
  </si>
  <si>
    <t>DERECHO DEL TRABAJO 1</t>
  </si>
  <si>
    <t>DERECHO DEL TRABAJO 2</t>
  </si>
  <si>
    <t>NUEVO DERECHO MEXICANO DEL TRABAJO</t>
  </si>
  <si>
    <t>BIMBO.- ESTRATÉGIAS DE ÉXITO EMPRE…</t>
  </si>
  <si>
    <t>ALMACENES, PLANEACIÓN, ORGANIZACIÓN Y CONTROL</t>
  </si>
  <si>
    <t>PRODUCTIVIDAD Y REDUCCIÓN DE COSTOS</t>
  </si>
  <si>
    <t>MATEMÁTICAS PARA ADMINISTRACIÓN Y EC…</t>
  </si>
  <si>
    <t>INGENIERÍA ECONÓMICA</t>
  </si>
  <si>
    <t>MATEMÁTICAS FINANCIERAS</t>
  </si>
  <si>
    <t>ESTADÍSITICA PARA ADMINISTRACIÓN Y ECONOMÍA</t>
  </si>
  <si>
    <t>ADMINISTRACIÓN MODERNA</t>
  </si>
  <si>
    <t>ADMINISTRACIÓN.- C/CD</t>
  </si>
  <si>
    <t>FUANDAMENTOS DE ADMINISTRACIÓN</t>
  </si>
  <si>
    <t>INTRODUCCIÓN A LA ADMINISTRACIÓN. C/E…</t>
  </si>
  <si>
    <t>PROCESO CONTABLE 1</t>
  </si>
  <si>
    <t>EVALUACIÓN DE PROYECTOS</t>
  </si>
  <si>
    <t>FORMULACIÓN Y EVALUACIÓN DE PROYECTOS DE…</t>
  </si>
  <si>
    <t>INVESTIGACIÓN DE MERCADOS.- UN EN…</t>
  </si>
  <si>
    <t>COSTOS Y EVALUACIÓN DE PROYECTOS</t>
  </si>
  <si>
    <t>ADMINISTRACIÓN FINANCIERA DE ACTIV…</t>
  </si>
  <si>
    <t>MEJORE SU NEGOCIO</t>
  </si>
  <si>
    <t>ADMINISTRACIÓN.- UN EFOQUE INTER…</t>
  </si>
  <si>
    <t>EMPRESARIOS PEQUEÑOSY MEDIANOS</t>
  </si>
  <si>
    <t>DIAGNÓSTICO DE OPERACIONES DE PYMES</t>
  </si>
  <si>
    <t>OTRAS 75 MANERAS DE HACER DIVERT. C…</t>
  </si>
  <si>
    <t>COMO HABLAR BIEN EN PÚBLICO</t>
  </si>
  <si>
    <t>LAS FINANZAS EN LA EMPRESA</t>
  </si>
  <si>
    <t>MARKETING.- EDICIÓN ADAPATADA A LATINOAMERICA</t>
  </si>
  <si>
    <t>INTRODUCCIÓN A LA MERCADOTECNIA</t>
  </si>
  <si>
    <t>SISTEMAS DE INFORMACIÓN DE MERCADOS</t>
  </si>
  <si>
    <t>MERCADOTECNIA DE SERVICIOS</t>
  </si>
  <si>
    <t>INVESTIGACÓN DE MERCADOS.- UN EN…</t>
  </si>
  <si>
    <t>PUBLICIDAD KLEPPNER</t>
  </si>
  <si>
    <t>FUNADAMENTOS DE MARKETING.- C/CD</t>
  </si>
  <si>
    <t xml:space="preserve">MERCADOTECNIA </t>
  </si>
  <si>
    <t>COMO PREPARA EL EXITOSOS PLAN D/M…</t>
  </si>
  <si>
    <t>PUBLICIDAD .- COMUNICACIÓN INTEG…</t>
  </si>
  <si>
    <t>PUBLICIDAD Y PROMOCION</t>
  </si>
  <si>
    <t>PUBLICIDAD CREATIVA</t>
  </si>
  <si>
    <t>ADMINISTRACIÓN DE VENTAS</t>
  </si>
  <si>
    <t>DIRECCIÓN DE MARKETING Y VENTAS</t>
  </si>
  <si>
    <t>EMPRENDEDOR DE ÉXITO.- CON CD</t>
  </si>
  <si>
    <t>EVALUACIÓN DE PROYECTOS DE INVERSIÓN</t>
  </si>
  <si>
    <t>DISTRIBUCIÓN COMERCIAL</t>
  </si>
  <si>
    <t>ECONOMÍA POLÍTICA I</t>
  </si>
  <si>
    <t>ECONOMÍA EN LA EMPRESA</t>
  </si>
  <si>
    <t>ECONOMÍA</t>
  </si>
  <si>
    <t>MICROECONOMÍA.- SCHAUM</t>
  </si>
  <si>
    <t>ÉTICA</t>
  </si>
  <si>
    <t>INTRODUCCIÓN A LA ÉTICA</t>
  </si>
  <si>
    <t>LA ÉTICA.- TERCER MILENIO</t>
  </si>
  <si>
    <t>ÉTICA PARA AMADOR.-AULA</t>
  </si>
  <si>
    <t>LEGISLACIÓN DEL COMERCIO EXTERIOR</t>
  </si>
  <si>
    <t>DIRECCIÓN DE MARKETING</t>
  </si>
  <si>
    <t>INTRODUCCIÓN AL ALGEBRA LINEAL</t>
  </si>
  <si>
    <t>ALGEBRA Y TRIGONOMETRIA CON GEOM…</t>
  </si>
  <si>
    <t>ALGEBRA Y TRIGONOMETRIA CON GEOMETRIA</t>
  </si>
  <si>
    <t>CÁLCULO</t>
  </si>
  <si>
    <t>CÁLCULO DIFERENCIA E INTEGRAL .- EL CÁLCULO</t>
  </si>
  <si>
    <t>CÁLCULO DIFERENCIA E INTEGRAL.- EL CÁLCULO</t>
  </si>
  <si>
    <t>ESTRUCTURA DE DATOS Y ALGORITMOS</t>
  </si>
  <si>
    <t>GUIA PARA MEDICIONES ELECTRONICAS Y P…</t>
  </si>
  <si>
    <t>ANÁLISIS INTRODUCTORIO DE CIRCUITOS</t>
  </si>
  <si>
    <t>ELECTRICIDAD BÁSICA 1</t>
  </si>
  <si>
    <t>ELECTRICIDAD BÁSICA 2</t>
  </si>
  <si>
    <t>ELECTRICIDAD BÁSICA 3</t>
  </si>
  <si>
    <t>ELECTRICIDAD BÁSICA 4</t>
  </si>
  <si>
    <t>ELECTRICIDAD BÁSICA 5</t>
  </si>
  <si>
    <t>PLANECACIÓN Y ORGANIZACIÓN DE EMPRESAS</t>
  </si>
  <si>
    <t>PRODUCTIVIDAD EN EL MANTENIMIENTO INDUSTRIAL</t>
  </si>
  <si>
    <t>ELECTRÓNICA INDUSTRIAL MODERNA</t>
  </si>
  <si>
    <t>PRINCIPIOS DE ELECTRÓNICA</t>
  </si>
  <si>
    <t>ANÁLISIS DE CIRCUITOS EN NGENIERIA</t>
  </si>
  <si>
    <t>CIRCUITOS ELÉCTRICOS Y ELÉCTRÓNICOS</t>
  </si>
  <si>
    <t>CIRCUITOS MICROELECTRÓNICOS</t>
  </si>
  <si>
    <t>INSTRUMENTACIÓN ELECTRÓNICA MODERNA</t>
  </si>
  <si>
    <t>ELECTRÓNICA BÁSICA</t>
  </si>
  <si>
    <t>ELECTRÓNICA DIGITAL</t>
  </si>
  <si>
    <t>ANÁLISIS DE SISTEMAS DE POTENCIA</t>
  </si>
  <si>
    <t>INTRODUCCIÓN AL ESTUDIO DEL TRABAJO</t>
  </si>
  <si>
    <t>SISTEMAS DE PRODUCCIÓN, PLANEACIÓN, A…</t>
  </si>
  <si>
    <t>TERMODINÁMICA C/DVD</t>
  </si>
  <si>
    <t>SISITEMAS DE MANTENIMIENTO</t>
  </si>
  <si>
    <t>LIDERAZGO BASADO EN RESUTADOS</t>
  </si>
  <si>
    <t>ADMINISTRACIÓN Y CONTROL DE LA CA…</t>
  </si>
  <si>
    <t>EVALUACIÓN DEPROYECTOS .- 2 TOMOS</t>
  </si>
  <si>
    <t>MANUAL DEL CONSTRUCTOR</t>
  </si>
  <si>
    <t>MATERIALES Y CONSTRUCCIÓN</t>
  </si>
  <si>
    <t>MANUAL DE PLOMERÍA E INSTALACIONES ELÉCTRICAS</t>
  </si>
  <si>
    <t>DSEÑO DE INSTALACIONES INDUSTRIALES</t>
  </si>
  <si>
    <t>ELECTRÓNICA.- TEORIA DE CIRCUITOS</t>
  </si>
  <si>
    <t>AMPLIFICADORES OPERACIÓN Y CIRC…</t>
  </si>
  <si>
    <t>ANÁLISIS BÁSICO DE CRICUITOS ELEC…</t>
  </si>
  <si>
    <t>MANUAL DEL INGENIERO INDUSTRIAL.- 2 TOMOS</t>
  </si>
  <si>
    <t>FUNDAMENTOS DE TRANSFERENCIA DE C…</t>
  </si>
  <si>
    <t>FUNDAMENTOS DE AIRE ACONDICIONADO</t>
  </si>
  <si>
    <t>FISICA MODERNA.- 2 TOMOS</t>
  </si>
  <si>
    <t>NUEVAS TECNOLOGIAS DE LA COMUNICACIÓN</t>
  </si>
  <si>
    <t>CONTROL TOTAL DE CALIDAD</t>
  </si>
  <si>
    <t>MANUAL DE AIRE ACONDICIONADO</t>
  </si>
  <si>
    <t>METROLOGÍA</t>
  </si>
  <si>
    <t>INTRODUCCIÓN A LA COMPUTACIÓN</t>
  </si>
  <si>
    <t>ALGEBRA.- C/CD</t>
  </si>
  <si>
    <t>FISICA CONCEPTOS Y APLICACIONES</t>
  </si>
  <si>
    <t>MATEMÁTICAS AVANZADAS PARA INGENIEROS 1</t>
  </si>
  <si>
    <t>MATEMÁTICAS AVANZADAS PARA INGENIEROS 2</t>
  </si>
  <si>
    <t>OREGANIZAACIÓN DE COMPUTADORAS</t>
  </si>
  <si>
    <t>MECÁNICA VECTORIAL, ESTÁTICA Y DINÁMICA</t>
  </si>
  <si>
    <t>EJERCICIOS ORTOGRÁGICOS</t>
  </si>
  <si>
    <t>DIBUJO Y DISEÑO DE INGENIERIA</t>
  </si>
  <si>
    <t>DIBUJO INDUSTRIAL</t>
  </si>
  <si>
    <t>DIBUJO TÉCNICO INDUSTRIAL</t>
  </si>
  <si>
    <t>DIBUJO TÉCNICO</t>
  </si>
  <si>
    <t>QUÍMICA ORGÁNICA</t>
  </si>
  <si>
    <t>QUÍMICA GENERA.- 2 TOMOS</t>
  </si>
  <si>
    <t>TERMODINÁMICA</t>
  </si>
  <si>
    <t>MECÁNICA DE MATERIALES</t>
  </si>
  <si>
    <t>RESISTENCIA DE MATERIALES</t>
  </si>
  <si>
    <t>INTRODUCCIÓN A LA INGENIERÍA INDUSTRIAS</t>
  </si>
  <si>
    <t>ENCICLOPEDIA DE LA MECÁNICA ING….- 8 TOMOS</t>
  </si>
  <si>
    <t>INSTALACIONES ELÉCTRICAS PRACT…</t>
  </si>
  <si>
    <t>ELEMENTOS DE DISEÑO DE INSTALAC. EL…</t>
  </si>
  <si>
    <t>FUNDAMENTOS DE MANUFACTURA MODERNA</t>
  </si>
  <si>
    <t>SOLDADURA, APLICACIONES Y PRÁCTICA</t>
  </si>
  <si>
    <t>CIENCIA E INGENIERÍA DE LOS MATERIALES</t>
  </si>
  <si>
    <t>TECNOOGÍA DE LA FABRICACIÓN 1</t>
  </si>
  <si>
    <t>MANUAL DE CALDERAS.- 2 TOMOS</t>
  </si>
  <si>
    <t>DISEÑO DE ELEMENTOS DE MÁQUINAS</t>
  </si>
  <si>
    <t>MANUAL DEL INSTALADOR DE GAS LP</t>
  </si>
  <si>
    <t xml:space="preserve">EVALUACIÓN DEPROYECTOS </t>
  </si>
  <si>
    <t>ELEMENTOS DE MAQUINARIA AGRÍCOLA</t>
  </si>
  <si>
    <t>PRINCIPIOS DE REFRIGERANCIÓN</t>
  </si>
  <si>
    <t>REPARACIÓN DE MOTORES ELÉCTRICOS .- 2 TOMOS</t>
  </si>
  <si>
    <t>CURSO DE TRANSFORMADORES Y MOTORES</t>
  </si>
  <si>
    <t>MANUAL DE EMBOBINADO DE MOTORES</t>
  </si>
  <si>
    <t>PROBABILIDAD Y ESTADÍSTICA.- SCHA</t>
  </si>
  <si>
    <t>TRANSPORTACIÓN VERTICAL EN EDIFICIOS</t>
  </si>
  <si>
    <t>EN MARCHA</t>
  </si>
  <si>
    <t>PRACTICAS DE MOTORES DE COMBUSTIÓN</t>
  </si>
  <si>
    <t>INGENIERÍA DE VEHICULOS</t>
  </si>
  <si>
    <t>REPARACIÓN Y PUESTA A PUNTO DE MOTOR</t>
  </si>
  <si>
    <t>MANTENIMIENTO DE MOTORES DIESEL</t>
  </si>
  <si>
    <t>TRATADO SOBRE AUTOMÓBILES 1</t>
  </si>
  <si>
    <t>TRATADO SOBRE AUTOMÓBILES 2</t>
  </si>
  <si>
    <t>PUESTA A PUNTO Y RENDIMIENTO DE MOTORES</t>
  </si>
  <si>
    <t>INYECCIÓN ELECTRONICA EN MOTORES A G…</t>
  </si>
  <si>
    <t>MECÁNICA DE PEQUEÑOS MOTORES</t>
  </si>
  <si>
    <t>ELECTRONICA Y ELECTRIC. AUTOM. 1</t>
  </si>
  <si>
    <t>ELECTRONICA Y ELECTRIC. AUTOM. 2</t>
  </si>
  <si>
    <t>MOTOCICLETAS.- DOSSAT</t>
  </si>
  <si>
    <t>OPERACIÓN DE SISTEMAS FUEL INYECTION.- DVD</t>
  </si>
  <si>
    <t>DIAGNÓSTICO DEL SISTEMA FUEL INYECTION.- DVD</t>
  </si>
  <si>
    <t>MANEJO DEL MULTÍMETRO.- DVD</t>
  </si>
  <si>
    <t>ABC DE LAS INSTALACIONES ELÉCTRICAS INDUSTRIALES</t>
  </si>
  <si>
    <t>ENERGÍA MEDIANTE VAPOR DE AIRE</t>
  </si>
  <si>
    <t>NEUMÁTICA</t>
  </si>
  <si>
    <t>INTRODUCCIÓN A LA MECÁNICA DE SOLI…</t>
  </si>
  <si>
    <t>AUTOCAD 2006.- CURSO PRACT.</t>
  </si>
  <si>
    <t>CREATIVIDAD VERBAL.-COMO DESARRO…</t>
  </si>
  <si>
    <t>FUNDAMENTOS DE MECÁNICA AUTOMOTRIZ</t>
  </si>
  <si>
    <t>FRENOS ABS</t>
  </si>
  <si>
    <t>TRATADO SOBRE AUTOMOVILES 1</t>
  </si>
  <si>
    <t>TRATADO SOBRE AUTOMOVILES 2</t>
  </si>
  <si>
    <t>EQUIPO ELÉCTTRICO Y ELECTRONICO DE AUT…</t>
  </si>
  <si>
    <t>DIAGNÓSTICO CON ESCANER 4.- DVD</t>
  </si>
  <si>
    <t>TERMODINÁMICA.- C/DVD</t>
  </si>
  <si>
    <t>COMPOSICIÓN Y ANÁLISIS DE ALIMENTOS D/P</t>
  </si>
  <si>
    <t>QUÍMICA DE LOS ALIMENTOS</t>
  </si>
  <si>
    <t>QUIMICA ANALÍTICA</t>
  </si>
  <si>
    <t>BIOLOGÍA DE LOS MICROORGANISMOS</t>
  </si>
  <si>
    <t>LENGUAJE DE PROGRAMACIÓN C.</t>
  </si>
  <si>
    <t>QUIMICA DE LOS ALIMENTOS</t>
  </si>
  <si>
    <t>CÁLCULO DIFERENCIA E INTEGRAL</t>
  </si>
  <si>
    <t>SKY LINE 2.- STUDENT'S BOOK</t>
  </si>
  <si>
    <t>SKY LINE 2.- WORKBOOK</t>
  </si>
  <si>
    <t>INTRODUCCIÓN A LA ADMINISTRACIÓN C/E</t>
  </si>
  <si>
    <t>CONTROL ESTADÍSTICO DE CALIDAD</t>
  </si>
  <si>
    <t xml:space="preserve">LA CALIDAD NO CUESTA </t>
  </si>
  <si>
    <t xml:space="preserve">ADMINISTRACIÓN DE EMPRESAS 1 </t>
  </si>
  <si>
    <t>ADMINISTRACIÓN DE EMPRESAS 2</t>
  </si>
  <si>
    <t>REDACCIÓN Y ESTILO</t>
  </si>
  <si>
    <t>CAUSE AND EFECT.- BOOK</t>
  </si>
  <si>
    <t>FÍSICA 2</t>
  </si>
  <si>
    <t>FÍSICA 1.- PARA CIENCIAS E ING.</t>
  </si>
  <si>
    <t>FISICA UNIVERSITARIA 1</t>
  </si>
  <si>
    <t>COMUNICACIÓN ORAL.- FUNDAM. Y PRAC…</t>
  </si>
  <si>
    <t>LECTURA ANALÍTICA CRÍTICA</t>
  </si>
  <si>
    <t>FUNDAMENTOS DE MARKETING C/CD</t>
  </si>
  <si>
    <t>FUNDAMENTOS DE TERMODINÁMICA</t>
  </si>
  <si>
    <t>ADMINISTRACIÓN.- UN ENFOQUE BASAD…</t>
  </si>
  <si>
    <t>REDES DE COMPUTADORAS</t>
  </si>
  <si>
    <t>SKY LINE 1.- WORKBOOK- MCMILLAN</t>
  </si>
  <si>
    <t>SKY LINE 1.- STUDENT'S BOOK</t>
  </si>
  <si>
    <t>PRIMEROS PASOS AL MUNDO EMPRESARIAL</t>
  </si>
  <si>
    <t>BIOTECNOLOGÍA PARA INGENIEROS</t>
  </si>
  <si>
    <t>MICROBIOLOGIA DE LOS ALIMENTOS</t>
  </si>
  <si>
    <t>CONSERVACIÓN QUÍMICA DE LOS ALIMENTOS</t>
  </si>
  <si>
    <t>GUIA PARA LA PRESENTACIÓN DE PROY…</t>
  </si>
  <si>
    <t>ANÁLISIS Y EVALUACIÓN DE PROYECTOS DE…</t>
  </si>
  <si>
    <t>PLANEACIÓN ESCOLAR Y FORMULACIÓN</t>
  </si>
  <si>
    <t>CIENCIA DE LOS ALIMENTOS</t>
  </si>
  <si>
    <t>EMBUTIDAS.-GUIAS EMPRESARIALES-</t>
  </si>
  <si>
    <t>REDACCIÓN AVANZADA</t>
  </si>
  <si>
    <t>INTRODUCCIÓN A ÉTICA</t>
  </si>
  <si>
    <t>TECNOLOGÍA DE ALIMENTOS</t>
  </si>
  <si>
    <t>LA META</t>
  </si>
  <si>
    <t>INFOMÁTICA PASO A PASO.- C/CD</t>
  </si>
  <si>
    <t>QUE ES EL CONTROL TOTAL DE CALIDAD MOD. J</t>
  </si>
  <si>
    <t>ANÁLISIS DE LOS NUTRIENTES DE LOS…</t>
  </si>
  <si>
    <t>ALGEBRA</t>
  </si>
  <si>
    <t>PRINCIPIOS DE REFRIGERACIÓN</t>
  </si>
  <si>
    <t>ELABORACIÓN DE PRODUCTOS LÁCTEOS</t>
  </si>
  <si>
    <t>ELABORACIÓN DE PRODUCTOS CÁRNICOS</t>
  </si>
  <si>
    <t>CONSERVACIÓN DE ALIMENTOS</t>
  </si>
  <si>
    <t>MÉTODOS ESTADÍSTICOS</t>
  </si>
  <si>
    <t>INGENIERÍA DEL SOFTWARE.- ENFOQUE…</t>
  </si>
  <si>
    <t>MÉTODOS CUANTITATIVOS PARA TOMA D…</t>
  </si>
  <si>
    <t>MANUAL DE LABORATORIO DE CIENCIA DE ALIMENTOS</t>
  </si>
  <si>
    <t>ANÁLISIS SENSORIAL EN DESAR. Y CON…</t>
  </si>
  <si>
    <t>MICROBIOLOGIA</t>
  </si>
  <si>
    <t>QUÍMICA</t>
  </si>
  <si>
    <t>CONCEPTUALIZACIÓN, ORIGEN Y EVOLUCIÓIN</t>
  </si>
  <si>
    <t>EFECTOS ECONÓMICOS, SOCIOCULTURALES Y AM…</t>
  </si>
  <si>
    <t>FUNCIONAMIENTO Y ORGANIZACIÓN INSTIT…</t>
  </si>
  <si>
    <t>POLÍTICA TURÍSTICA Y PLANIFICACIÓN DE…</t>
  </si>
  <si>
    <t>ACTIVIDADES TURÍSITICAS Y RECREACIÓN</t>
  </si>
  <si>
    <t>UN NUEVO TIEMPO LIBRE</t>
  </si>
  <si>
    <t>ELEMENTOS TURÍSITICOS</t>
  </si>
  <si>
    <t>INTRODUCCIÓN AL TURISMO</t>
  </si>
  <si>
    <t>TURISMO SOCIAL</t>
  </si>
  <si>
    <t>ADMINISTRACIÓN DEL TIEMPO LIBRE</t>
  </si>
  <si>
    <t>METODOLOGÍA DEL TURISMO</t>
  </si>
  <si>
    <t>VISIÓN INTERAL DEL TURISMO</t>
  </si>
  <si>
    <t>ANTEPROYECTOS DE INVESTIGACIÓN TURÍSITICA</t>
  </si>
  <si>
    <t>ESTADÍSTICA PARA ADMINISTRACIÓN TURÍSTICA</t>
  </si>
  <si>
    <t>CALIDAD TOTAL EN LAS EMPRESAS TURÍSTICAS</t>
  </si>
  <si>
    <t>GESTIÓN ADMINISTRATIVA PARA EMPRESAS …</t>
  </si>
  <si>
    <t>METODOLOGÍA DE LA INVESTIGACIÓN APLIC…</t>
  </si>
  <si>
    <t>LOS MUNICIPIOS TURÍSITICOS</t>
  </si>
  <si>
    <t>PLANIFICACIÓN ECONÓMICA DEL TURÍSMO</t>
  </si>
  <si>
    <t>PROYECTOS TURÍSITICOS</t>
  </si>
  <si>
    <t>TURISMO Y AMBIENTE</t>
  </si>
  <si>
    <t>PLANIFICACIÓN TURÍSITICA</t>
  </si>
  <si>
    <t>ECOTURISMO TAP</t>
  </si>
  <si>
    <t>POSTURISMO.- TURISMO Y POSMODERNI…</t>
  </si>
  <si>
    <t>TURIMOS.- METODOLOGIA PARA SU PLANIF…</t>
  </si>
  <si>
    <t>TURISMO Y ECOLOGÍA</t>
  </si>
  <si>
    <t>PLANIFICACIÓN INTEGRAL DEL TURISMO</t>
  </si>
  <si>
    <t>FINANCIAMIENTO TURÍSITICO</t>
  </si>
  <si>
    <t>ECOTURISMO.- OPERAC. TEC. Y GEST. AM…</t>
  </si>
  <si>
    <t>TURISMO POPULAR</t>
  </si>
  <si>
    <t>TURISMO ALTERNATIVO</t>
  </si>
  <si>
    <t>TURISMO RECREATIVO</t>
  </si>
  <si>
    <t>TURISMO Y RECREACIÓN</t>
  </si>
  <si>
    <t>FUNDAMENTOS DE MARKETING TURISTICO</t>
  </si>
  <si>
    <t>MARKETING DE DESTINOS TURÍSTICOS</t>
  </si>
  <si>
    <t>MERCADOTECNIA HOTELERO</t>
  </si>
  <si>
    <t>MARKETING EN FERIAS TURÍSITICAS</t>
  </si>
  <si>
    <t>MARKETING DE RESTAURANTES</t>
  </si>
  <si>
    <t>PROMOCIÓN TURÍSTICA</t>
  </si>
  <si>
    <t>SEGMENTACIÓN DEL MERCADO TURÍSITICO</t>
  </si>
  <si>
    <t>COMERCIALIZACIÓN DEL TURISMO</t>
  </si>
  <si>
    <t>PRODUCTOS TURÍSITICO</t>
  </si>
  <si>
    <t>MERCADOTECNIA Y PRODUCTIVIDAD TUR…</t>
  </si>
  <si>
    <t>ORGANIZACIÓN DE CONGRESOS Y CONVENCIONES</t>
  </si>
  <si>
    <t>PUBLICIDAD TURÍSTICA</t>
  </si>
  <si>
    <t>CONGRESOS, CONVENCIONES Y REUNIONES</t>
  </si>
  <si>
    <t>TURISMO DE NEGOCIOS</t>
  </si>
  <si>
    <t>PLANEACIÓN Y EJECUCIÓN DE EVENTOS</t>
  </si>
  <si>
    <t>TURISMO DE CONVENCIONES, INCENT. CO…</t>
  </si>
  <si>
    <t>GERENCIA COMPETITIVA DE LA POSADA</t>
  </si>
  <si>
    <t>ADMINISTRACIÓN HOTELERA 1.- DIV. CUARTOS.</t>
  </si>
  <si>
    <t>ADMINISTRACIÓN HOTELERA 2.- ALIMENTOS Y BEBIDAS</t>
  </si>
  <si>
    <t>MANTENIMIENTO DE HOTELES</t>
  </si>
  <si>
    <t>MANUAL PRACTICO DE RECEPC. HOTELER…</t>
  </si>
  <si>
    <t>FACTIBILIDAD HOTELERA.- ANAL. EV…</t>
  </si>
  <si>
    <t>PLANIFICACIÓN, OPERAC. Y FINANC. EN…</t>
  </si>
  <si>
    <t>HOTELES Y MOTELES.- ADMON. Y FUNC…</t>
  </si>
  <si>
    <t>ADMINISTRACIÓN MODERNA DE HOTELES Y…</t>
  </si>
  <si>
    <t>CONTABILIDAD HOTELERA</t>
  </si>
  <si>
    <t>ESPÍRITU DE SERVICIO.- ESTILO MARRI…</t>
  </si>
  <si>
    <t>ADMINISTRACIÓN DE RIESGOS EN HOTELES</t>
  </si>
  <si>
    <t>HOTELES.- GCIA. SEGURIDAD Y MANTEN…</t>
  </si>
  <si>
    <t>OPERACIÓN DE HOTELES 1.- DIVIS. D…</t>
  </si>
  <si>
    <t>LA VIÑA, LA VIS Y EL VINO</t>
  </si>
  <si>
    <t>MANUAL PARA MESEROS</t>
  </si>
  <si>
    <t>HIGIENE EN ALIMENTOS Y BEBIDAS</t>
  </si>
  <si>
    <t>MARKETING CREATIVO.- P/ SERV. DE COM…</t>
  </si>
  <si>
    <t>ADMINISTRACIÓN DE LA EMPRESA REST…</t>
  </si>
  <si>
    <t>ARREGLO ARTÍSTICO DE SERVILLETAS</t>
  </si>
  <si>
    <t>ADMINISTRACIÓN DE COMEDOR Y BAR</t>
  </si>
  <si>
    <t>MANUAL DE ADMINISTRAC. Y GASTRONOM…</t>
  </si>
  <si>
    <t>SERVICIO DE RESTAURANTERÍA</t>
  </si>
  <si>
    <t>CONTROL DE COSTOS DE ALIMENTOS Y BEBIDAS</t>
  </si>
  <si>
    <t>AGENCIA DE VIAJES</t>
  </si>
  <si>
    <t xml:space="preserve">SISITEMAS DE TRANSPORTACIÓN TURÍSTICA </t>
  </si>
  <si>
    <t>TRANSPORTACIÓN ACUÁTICA EN EL TURISMO</t>
  </si>
  <si>
    <t>TRANSPORTACIÓN MARÍTIMA MEX. EN EL…</t>
  </si>
  <si>
    <t>SOPAS Y PRIMERO PLATOS. -E-</t>
  </si>
  <si>
    <t>ARTE POPULAR MEXICANO</t>
  </si>
  <si>
    <t>MUSEOS DE LA CIUDAD DE MEXICO.- GUIA.</t>
  </si>
  <si>
    <t>MANUAL DEL GUIA DE TURISTA</t>
  </si>
  <si>
    <t>MANUAL DE NESEROS Y CAPITANES</t>
  </si>
  <si>
    <t>POLÍTICA TURÍSITICA</t>
  </si>
  <si>
    <t>TESOROS TURÍSTICOS DE MÉXICO</t>
  </si>
  <si>
    <t>ADMINISTRACIÓN DE MEPRESAS TURÍSTICAS</t>
  </si>
  <si>
    <t>THROUGH THE WORLD OF TURISM</t>
  </si>
  <si>
    <t>THROUGH  WORLD HOTEL BUSSINES</t>
  </si>
  <si>
    <t>PREPARACIÓN HIGIENICA DE LOS ALIMENTOS</t>
  </si>
  <si>
    <t>COMO VENDER MAS EN SU WEB</t>
  </si>
  <si>
    <t>SABER VENDER SABER</t>
  </si>
  <si>
    <t>FRACASOS DE MARCA</t>
  </si>
  <si>
    <t>COMO HACER NEGOCIOS EN INTERNET</t>
  </si>
  <si>
    <t>REGLAS DEL MARKETING DIRECTO EN I</t>
  </si>
  <si>
    <t>SONDEO EL .- UNA HERRAMIENTA D/MA</t>
  </si>
  <si>
    <t>HERRAMIENTA PARA SEGMENT. MERCADO</t>
  </si>
  <si>
    <t>OCHENTA CONCEPTOS ESENCIALES D/MA</t>
  </si>
  <si>
    <t>MARKETIN POR E-MAIL</t>
  </si>
  <si>
    <t>MAKETING. - VERS. P/LATINAM</t>
  </si>
  <si>
    <t>MARKETING SEGÚN KOTLER, EL</t>
  </si>
  <si>
    <t>INVESTIGACION DE MARCADOS CONTEMP</t>
  </si>
  <si>
    <t>MARKETIN DE SERVICIOS</t>
  </si>
  <si>
    <t>PSICOLOGIA DE VENTAS</t>
  </si>
  <si>
    <t>RETAIL MARKETING</t>
  </si>
  <si>
    <t>MARKETING PARA SERES HUMANOS</t>
  </si>
  <si>
    <t>MERCADOTENIA PROGRAMADA</t>
  </si>
  <si>
    <t>BATALLA EN EL PUNTO DE VENTA, LA</t>
  </si>
  <si>
    <t xml:space="preserve">GESTION EN LA INCERRTIDUMBRE, LA </t>
  </si>
  <si>
    <t>PLAN DE MERCADOTECNIA</t>
  </si>
  <si>
    <t>ESTRATEGIA COMPETITIVA.-EDIC.REV</t>
  </si>
  <si>
    <t>PLANEACION ESTRATEGICA.- LO Q¨ TOD</t>
  </si>
  <si>
    <t>TEORIA Y DISEÑO ORGANIZACIONAL</t>
  </si>
  <si>
    <t>MANUAL BASICO DE LOGISTICA INTEGRAL</t>
  </si>
  <si>
    <t>GESTION DE PROYECTOS</t>
  </si>
  <si>
    <t>ESTADISTICA APLICADA ADMON Y ECONOMIA</t>
  </si>
  <si>
    <t>ADMINISTRACION DE PROYECTOS .- C/C</t>
  </si>
  <si>
    <t>REINGENIERIA DE PROCESOS D/NEGCI</t>
  </si>
  <si>
    <t>ARTE DE DIRIGIR PROYECTOS</t>
  </si>
  <si>
    <t>DIRECCION Y GESTIO DE PROYECTOS</t>
  </si>
  <si>
    <t>MANUAL DE LOGISTICA INTEGRAL</t>
  </si>
  <si>
    <t>QUINTA DISCIPLINA EN LA PRACTICA</t>
  </si>
  <si>
    <t>DESARROLLO ORGANIZACIONAL</t>
  </si>
  <si>
    <t>ADMINISTRACION EXITOSA DE PROYECTO</t>
  </si>
  <si>
    <t>BIMBO.- ESTRATEGIA DE ÉXITO EMPRESARIAL</t>
  </si>
  <si>
    <t>VENTAJA COMPETITIVA.- EDC. REVISA</t>
  </si>
  <si>
    <t>ADMINISTRACION DE RECURSOS HUMANOS</t>
  </si>
  <si>
    <t>COMPORTAMIENTO ORGANIZACIONAL.   I</t>
  </si>
  <si>
    <t>CASOS Y PRACTICAS DE ADMON REC. HUM</t>
  </si>
  <si>
    <t>ADMINISTRACION DE PERSONAL</t>
  </si>
  <si>
    <t>CALIDAD PRODUCTIVA Y COMPETITIVA</t>
  </si>
  <si>
    <t>MANUFACTURA SINCRONICA</t>
  </si>
  <si>
    <t>DERECHO DEL TRABAJO</t>
  </si>
  <si>
    <t>MANUAL DE BANCA,FINANZAS Y SEG</t>
  </si>
  <si>
    <t>MONEDA, BANCA Y MERCADOS FINANCIEROS</t>
  </si>
  <si>
    <t>COMPARACION DE LA INFORMACION FINANC</t>
  </si>
  <si>
    <t>COMO EVACUAR Y MEJORAR SUS HABILIDADES</t>
  </si>
  <si>
    <t>NEGOCIOS Y COMERCIALIZACION INTERCUL</t>
  </si>
  <si>
    <t>ADMINISTRACION DE OPERACIONES</t>
  </si>
  <si>
    <t>INVESTIGACION DE OPERACIONES</t>
  </si>
  <si>
    <t>SINOPSIS DE AUDITORÍA ADMINISTRATIVA</t>
  </si>
  <si>
    <t>NUEVOS CONCEPTOS DEL CONTROL INTE</t>
  </si>
  <si>
    <t>ENTRENAMIENTO PARA EL EQUIPO D/TR.</t>
  </si>
  <si>
    <t>ENTREVISTA EXITOSA-100 PREG</t>
  </si>
  <si>
    <t>ADMINISTRACIÓN DE LA PRODUCCIÓN Y OP…</t>
  </si>
  <si>
    <t>CONTABILIDAD DE COSTOS</t>
  </si>
  <si>
    <t>GÉNERO Y DISCURSO</t>
  </si>
  <si>
    <t>DICCIONARIO DE SINÓNIMOS Y ANTÓNIMOS</t>
  </si>
  <si>
    <t>CÓDIGO DE ÉTICA PROFESIONAL</t>
  </si>
  <si>
    <t>ENTREVISTA EN LAS ORGANIZACIONES</t>
  </si>
  <si>
    <t>SABOR DE LAS GRANDE OCASIONES</t>
  </si>
  <si>
    <t>BUFFET</t>
  </si>
  <si>
    <t>POSTRES</t>
  </si>
  <si>
    <t>COCTELES</t>
  </si>
  <si>
    <t>GRAN ENCICLOPEDIA DE LOS HELADOS</t>
  </si>
  <si>
    <t>ARTE Y SECRETOS DE LA REPOSTERÍA</t>
  </si>
  <si>
    <t>COSTO DE LOS ALIMENTOS Y BEBIDAS</t>
  </si>
  <si>
    <t>DOSCIENTAS IDEAS PARA ATRAER CLIENTES</t>
  </si>
  <si>
    <t>CIEN IDEAS PARA ATRAER CLIENTES A…</t>
  </si>
  <si>
    <t>TRATADO DE ALIEMTOS Y BEBIDAS 3</t>
  </si>
  <si>
    <t>TRATADO DE ALIEMTOS Y BEBIDAS 1</t>
  </si>
  <si>
    <t>TRATADO DE ALIEMTOS Y BEBIDAS 4</t>
  </si>
  <si>
    <t>DIRECCIÓN DE ALIMENTOS Y BEBIDAS EN H…</t>
  </si>
  <si>
    <t>CIEN FORMAS DE HURTAR HONORABLEMEN…</t>
  </si>
  <si>
    <t>TURISMO.- PLANEAC. ADMON. Y PERSPEC…</t>
  </si>
  <si>
    <t>GESTION DE CALIDAD APLICADA EN HOSTE…</t>
  </si>
  <si>
    <t>MANUAL DE ARREGLOS FLORALES</t>
  </si>
  <si>
    <t>DECORACIÓN CON FRUTAS.- TALLADO Y…</t>
  </si>
  <si>
    <t>DECORACIÓN CON VERDURAS.- TALLADO</t>
  </si>
  <si>
    <t>LA PASTELERÍA.- UN ARTEEN EL AR…</t>
  </si>
  <si>
    <t>GRAN ENCICLOPEDIA DE LAS VERDURAS</t>
  </si>
  <si>
    <t>TECNOLOGÍA DE LA FABRICACIÓN DE CO…</t>
  </si>
  <si>
    <t>ENLATADOS DE PESCADO Y CARNE</t>
  </si>
  <si>
    <t>CIENCIA DE LA CARNE</t>
  </si>
  <si>
    <t>ELABORACIÓN ARTESANAL DE FRUTAS Y…</t>
  </si>
  <si>
    <t>FISOLOGÍA Y MANIPULACIÓN DE FRUTAS</t>
  </si>
  <si>
    <t>ELABORACIÓN CASERA DE CERVEZA</t>
  </si>
  <si>
    <t>DULCES ELABORADOS CON ZUCAR Y CHOC…</t>
  </si>
  <si>
    <t>EVALUACIÓN SENSORIAL DE LOS ALIMENTOS</t>
  </si>
  <si>
    <t>MICROBIOLOGÍA DE LOS ALIMENTOS</t>
  </si>
  <si>
    <t>MICROBIOLOGÍA ALIMENTARIA 1</t>
  </si>
  <si>
    <t>MICROBIOLOGÍA ALIMENTARIA 2</t>
  </si>
  <si>
    <t>HACCP.- ENFOQUE PRÁCTICO</t>
  </si>
  <si>
    <t>VALOR NUTRITIVO DE LA CARNE</t>
  </si>
  <si>
    <t>GUIA DE ADITIVOS</t>
  </si>
  <si>
    <t>VINO.- D. ANÁLISIS A LA ELABORAC…</t>
  </si>
  <si>
    <t>FABRICACIÓN DE EMBUTIDOS</t>
  </si>
  <si>
    <t>CERVEZA.- ACRIBIA.</t>
  </si>
  <si>
    <t>HACCP.</t>
  </si>
  <si>
    <t>FABRICACIÓN DE QUESO</t>
  </si>
  <si>
    <t>PROCESADO TÉRMICO Y ENVASADO DE EL…</t>
  </si>
  <si>
    <t>FLAVORES DE LOS ALIMENTOS.- BIOL. Y…</t>
  </si>
  <si>
    <t>ACEITES Y GRASAS ALIMENTARIOS</t>
  </si>
  <si>
    <t>GUIA PRÁCTICA PARA EL ANÁLISIS MICRO…</t>
  </si>
  <si>
    <t>GUÍA PARA LA ELABORAC. DE PLAN DE LI…</t>
  </si>
  <si>
    <t>PRINCIPIOS DE HIGIENE ALIMENTARIA</t>
  </si>
  <si>
    <t>HACCP.- MNL. DEL AUDITOR DE CALIDAD</t>
  </si>
  <si>
    <t>CEREALES Y PRODUCTOS DERIVADOS</t>
  </si>
  <si>
    <t>LA CIENCIA DE LAS GOLOCINAS</t>
  </si>
  <si>
    <t>PROCESADOS DE CÍTRICOS</t>
  </si>
  <si>
    <t>TECNOLOGÍAS TÉRMICAS PARA PROCES. D. A...</t>
  </si>
  <si>
    <t xml:space="preserve">MANUAL DE LA INDUSTRIA DE LOS ALIMENTOS </t>
  </si>
  <si>
    <t>CIENCIA DE LA CARNE Y PRODUCTOS C…</t>
  </si>
  <si>
    <t>FUNDAMENTOS DE LA ELABORACIÓN DEL…</t>
  </si>
  <si>
    <t>TECNOLOGÍA DE LOS PRODUCTOS LACTEOS</t>
  </si>
  <si>
    <t>TECNOLOGIA DE LA INDUSTRIA GALLETERA</t>
  </si>
  <si>
    <t>PROCESADO DE HORTALIZAS</t>
  </si>
  <si>
    <t>ALMACENAMIENTO EN ADMÓSFERAS CONT…</t>
  </si>
  <si>
    <t xml:space="preserve">PRODUCCIÓN Y ENVASADO DE ZUMOS Y B... </t>
  </si>
  <si>
    <t>ELABORACIÓN DE CERVEZA</t>
  </si>
  <si>
    <t>CIENCIA DE LOS ALIMENTOS A-Z</t>
  </si>
  <si>
    <t>OPERACIONES DEL ING. EN ALIMENTOS</t>
  </si>
  <si>
    <t>ALIMENTOS.- LO QUE CONVIENE SABER</t>
  </si>
  <si>
    <t>QUÍMICA CULINARIA</t>
  </si>
  <si>
    <t>TECNOLOGÍA DE LAS HORTALIZAS</t>
  </si>
  <si>
    <t>TECNOLOGÍA E HIGIENE DE LA CARNE</t>
  </si>
  <si>
    <t>ELABORACIÓN ARTESANAL DE LICORES</t>
  </si>
  <si>
    <t>TRATADO DE CIENCIA Y TEC. HORTALIZAS</t>
  </si>
  <si>
    <t>BASES CIENTÍFICAS Y TEC. ENOLÓGIA.</t>
  </si>
  <si>
    <t>DE LA CAÑA AL RON</t>
  </si>
  <si>
    <t>DEFECTOS DEL VINO</t>
  </si>
  <si>
    <t>CIENCIA Y TECNOLOGIA DE ESPECIES</t>
  </si>
  <si>
    <t>LECHE Y PRODUCTOS LACTEOS-TEC.QUI…</t>
  </si>
  <si>
    <t>ELABORACIÓN CASERA DE VINOS</t>
  </si>
  <si>
    <t>ANÁLISIS DE LÍPIDOS</t>
  </si>
  <si>
    <t>PRODUCCIÓN DE VINO</t>
  </si>
  <si>
    <t>ELABORACIÓN DE VINOS-SEG. CALIDAD</t>
  </si>
  <si>
    <t>MANUAL CHILTON DE REPARACIÓN Y MANTENIMIENTO…</t>
  </si>
  <si>
    <t>MANUAL TÉCNICO DE FUEL INJECTION</t>
  </si>
  <si>
    <t>MANUAL DEL AUTOMOBIL.- 4 TOMOS</t>
  </si>
  <si>
    <t>TÉCNICO EN MECÁNICA Y ELECTRÓNICA AUTOMITRIZ</t>
  </si>
  <si>
    <t>TÉCNICAS DEL AUTOMOVIL.- CHASIS</t>
  </si>
  <si>
    <t>NEUMÁTICOS .- TECNOL. Y CUIDADOS Y MA…</t>
  </si>
  <si>
    <t>CARROCERÍA.- ELEMENTOS FIJOS</t>
  </si>
  <si>
    <t>FRENOS CONVENCIONALES.- C/DVD</t>
  </si>
  <si>
    <t>ELECTRÓNICA Y ELÉCTRICA AUTOMOTRIZ 2</t>
  </si>
  <si>
    <t>ELECTRÓNICA Y ELÉCTRICA AUTOMOTRIZ 1</t>
  </si>
  <si>
    <t>FUNDAMENTOS DE ADMINISTRACION</t>
  </si>
  <si>
    <t>ADMINISTRACION ESTRATEGICA</t>
  </si>
  <si>
    <t>INT. A LA TEORIA GRAL. DE LA ADMON</t>
  </si>
  <si>
    <t>PRINCIPIOS DE ADMINISTRACION</t>
  </si>
  <si>
    <t>MATEMATICAS APLICADAS - ADMON.-</t>
  </si>
  <si>
    <t>INTRODUCCION A LA CONTADURIA</t>
  </si>
  <si>
    <t>COMPORTAMIENTO EN LAS ORGANIZACIONES</t>
  </si>
  <si>
    <t>BATIDORA PARA PAN</t>
  </si>
  <si>
    <t>PIZARRON PORCELANIZADO DE 120X240 CM</t>
  </si>
  <si>
    <t>MAC PRO (TWO 2.8GHZ QUAD-CORE INTEL XEON/2GB COMPUTADORA</t>
  </si>
  <si>
    <t>PIZARRON IBOARD BLUE DE 1.22 X 2.44,GABINETE INTEGRADO,REPRODUCTOR DVD/CD PANEL USB,SONIDO ENVOLVENTE,SENSOR Y SOFTWARE DE CAPTURA,KIT DE MARCADORES ELECTRONICOS Y DE MONTAGE A PARED ,LLAVE DE ENCENDIDO,APAGADO MANUAL DE USUARIO/INSTALACION</t>
  </si>
  <si>
    <t>SISTEMA INTERCONECTADO DE 5 KWP (PANELES SOLARES</t>
  </si>
  <si>
    <t>AULA 10 X40 CON ESPACIO DE OFICINA MOD. 2013</t>
  </si>
  <si>
    <t>AULA 10 X40 CON ESPACIO DE OFICINA MOD 2013</t>
  </si>
  <si>
    <t>AULA 10 X40 KUATRO MODULARES SA DE CV</t>
  </si>
  <si>
    <t>1 EQUIPAMIENTO PARA EL PROGRAMA EDUCATIVO OPERACIONES COMERCIALES INTERNACIONALES (1 LABORATORIO MOVIL) QUE INCLUYE: 1 EQUIPO DE SONIDO MARCA BOSE PARA AULA MOVIL</t>
  </si>
  <si>
    <t xml:space="preserve">1 EQUIPAMIENTO PARA EL LABORATORIO DE ADMINISTRACIÓN QUE INCLUYE:                                               11  LICENCIAS DE ASPEL SAE V 6.0                                                   11  LICENCIAS DE ASPEL NOI V 7.0                                                     11  LICENCIAS DE ASPEL COI V 7.0 </t>
  </si>
  <si>
    <t xml:space="preserve">Lote adquisición de equipo  para alumnos del PE de operaciones comerciales  (equipo especializado) 4 pizarrones interactivo Pizarrón interactivo SMART techno logias de 77”. Incluye marcador virtual, cable USB. Kit de fijación en pared  y software Smart notebook para win Mac,  2 años de garantía, funcionalidad táctil natural, tamaño 160.5 cm an x 127cm. Alt x 12.8 cm.            Área de pantalla 156.5 cm.  An  x 117.3 cm alt. Peso 23.2 Kg  4 proyectores Proyector  EPSON Powerlite W32 Blanco Resolución  WXGA  Resolución de pantalla ancha  de alta definición  de  1280 X  800. Brillo en color 3200 lúmenes. Brillo en blanco 3200 lúmenes, Lámparas  E-TORL de alta eficiencia dura hasta 5,000 horas  en modo normal y hasta 10,000 horas en modo ECO.,  audio para cualquier entorno  de aprendizaje y reuniones, proyecta  audio  y video compatible con PC  y Mac,  Conectividad HDMI                      
4 sistemas de audio 
1 amplificador de  audio, 40 watts, entrada para 12 Vcc o 120 Vca (úsalo en tu auto o negocio)  salidas de 4, 8 y 16  Ohms, 2 entradas 6.3 mm para micrófono, Entrada auxiliar 6.3 mm,  Volumen Independiente para micrófonos  y AUX, Dimensiones: 20 cm de frente x8 cm de alto  X 15.8 cm. De fondo 
1 JUEGO  DE 2 BOCINAS REDONDAS DE 300 WATTS  PMPO C/U, PARA PLAFÓN,  2 VÍAS, impedancia: 8ohms, Diámetro: 9.57, sistema de medio giro para sujeción,   terminales  enroscables 
Lote adquisición de equipo  para alumnos del PE de operaciones comerciales  (equipo especializado)
4 pizarrones interactivos 
Pizarrón interactivo SMART techno logias de 77”. Incluye marcador virtual, cable USB. Kit de fijación en pared  y software Smart notebook para win Mac,  2 años de garantía, funcionalidad táctil natural, tamaño 160.5 cm an x 127cm. Alt x 12.8 cm. Área de pantalla 156.5 cm.  An  x 117.3 cm alt. Peso 23.2 Kg
4 proyectores 
Proyector  EPSON Powerlite W32 Blanco Resolución  WXGA  Resolución de pantalla ancha  de alta definición  de 1280 X  800. Brillo en color 3200 lúmenes. Brillo en blanco 3200 lúmenes, Lámparas  E-TORL de alta eficiencia dura hasta 5,000 horas  en modo normal y hasta 10,000 horas en modo ECO., audio para cualquier entorno  de aprendizaje y reuniones, proyecta  audio  y video compatible con PC  y Mac,  Conectividad HDMI
4 sistemas de audio 
1 amplificador de  audio, 40 watts, entrada para 12 Vcc o 120 Vca (úsalo en tu auto o negocio)  salidas de 4, 8 y 16  Ohms, 2 entradas 6.3 mm para micrófono, Entrada auxiliar 6.3 mm,  Volumen Independiente para micrófonos  y AUX, Dimensiones: 20 cm de frente x8 cm de alto  X 15.8 cm. De fondo 
1 JUEGO  DE 2 BOCINAS REDONDAS DE 300 WATTS  PMPO C/U, PARA PLAFÓN,  2 VÍAS, impedancia: 8ohms, Diámetro: 9.57, sistema de medio giro para sujeción,   terminales  enroscables </t>
  </si>
  <si>
    <t xml:space="preserve">EQUIPAMIENTO PARA ALUMNOS DEL PROGRAMA EDUCATIVO DE MANTENIMIENTO QUE INCLUYE
2 PROYECTORES  Epson PowerLite W32, Resolución WXGA.  Resolución de pantalla  ancha de alta definición de 1280 X 800 Brillo en color 3200 lúmenes. Brillo en blanco 3200 lúmenes,  lámpara     E- TORL de alta  eficiencia dura hasta  5,000 horas en modo normal y hasta 10,000 horas en modo ECO. Proyecta audio y video  compatible con PC y Mac, Conectividad HDMI.                                         2 Laptops DELL Inspiron 15 5000, Intel Cori 17, 8 GB, 15.6 pulgadas, Windows 10 home No. De serie BWFTW32 Y 47DL6L22                                                                                                                              2 AMPLIFICADORES DE AUDIO, 40 WATTS Entrada Para 12 Vcc o 120 Vca o 120 Vca, Salidas de 4, 8 y 16 ohms, 2 entradas  6.3 mm para micrófono, Entrada auxiliar 6.3 mm Volumen Independiente para micrófono y AUX. Número de serie AMP-040SD                                                                                         2 JUEGOS DE BOCINAS DE 300 WATTS PMPO C/U, PARA PLAFÓN, 2  VIAS,  NUMERO DE SERIE SPK-630
</t>
  </si>
  <si>
    <t>EQUIPAMIENTO PARA EL PROGRAMA EDUCATIVO DE  ADMINISTRACION QUE INCLUYE:   2 Pizarrón Interactivo SMART Technologies de 77”. Incluye marcador virtual, cables USB, Kit de fijación en pared y software Smart notebook para Win, Mac  2 años de garantía funcionalidad táctil natural  tamaño 160.5 cm an X 127.2 cm alt X 12.8 cm Área de pantalla156.5 cm an X 117.3 cm alt. Número de serie GO32HWO4SO475, GO32HWO4SO478    8 AMPLIFICADORES DE AUDIO, 40 WATTS Entrada Para 12 Vcc o 120 Vca o 120 Vca, Salidas de 4, 8 y 16 ohms, 2 entradas  6.3 mm para micrófono, Entrada auxiliar 6.3 mm Volumen Independiente para micrófono y AUX. Número de serie AMP-040SD   8 JUEGOS DE BOCINAS DE 300 WATTS PMPO C/U, PARA PLAFÓN, 2  VIAS, impedancia 8 ohms  NUMERO DE SERIE SPK-63</t>
  </si>
  <si>
    <t>3 PANTALLA SAMSUNG 50 PULGADAS 3 SOPORTE PARA PANTALLAS NUMERO DE SERIE 460934</t>
  </si>
  <si>
    <t xml:space="preserve">DONADO </t>
  </si>
  <si>
    <t>151202011230110010013</t>
  </si>
  <si>
    <t xml:space="preserve">CARRO PARA CARNES FRIAS DE 200 LTS </t>
  </si>
  <si>
    <t>CISTERNA ROTOPLAS CAP. 2500 LTS. EQUiPADAS</t>
  </si>
  <si>
    <t>PIZARRON BLANCO PLUMON</t>
  </si>
  <si>
    <t>REFRIGERADOR</t>
  </si>
  <si>
    <t>COMODA DE 1.80 DE MADERA</t>
  </si>
  <si>
    <t>TELEFONO DOMESTICO</t>
  </si>
  <si>
    <t>RADIOGRABADORAS A.M. F.M. CON C.D.</t>
  </si>
  <si>
    <t xml:space="preserve">ASPIRADORA </t>
  </si>
  <si>
    <t>PIZARRON ALFRA BCO. C/SUJETAFOLIO 90 X 120</t>
  </si>
  <si>
    <t>(VITRINA) APARADOR EN ALUMINO NEGRO CON CRISTAL</t>
  </si>
  <si>
    <t>GUILLOTINA INGENTO 18" T D/C</t>
  </si>
  <si>
    <t>VITRINA DE ALUMINIO NEGRO Y CRISTAL DE 6 MM. CON PANELAR DE 350 X 105 X5</t>
  </si>
  <si>
    <t xml:space="preserve">ENFRIADOR Y CALENTADOR DE AGUA </t>
  </si>
  <si>
    <t>CALCULADORA ELECTRICA DE 12 DIGITOS</t>
  </si>
  <si>
    <t>GUILLOTINA INGENTO 15" T/O.</t>
  </si>
  <si>
    <t xml:space="preserve">UNIDADES DE AIRE ACONDICIONADO </t>
  </si>
  <si>
    <t>NO BRAKES</t>
  </si>
  <si>
    <t xml:space="preserve">CAMARA FOTOGRAFICA </t>
  </si>
  <si>
    <t>151202011230110010009</t>
  </si>
  <si>
    <t>ARMARIO PORTAMODULOS DE EXPERIMENTACION</t>
  </si>
  <si>
    <t>BASE UNIVERSAL PARA MAQUINA ROTANTE</t>
  </si>
  <si>
    <t>DUROMETRO</t>
  </si>
  <si>
    <t>MODULO CENTRAL DE ANTINCENDIO</t>
  </si>
  <si>
    <t>MODULO DE EROGACION MONOFASICA</t>
  </si>
  <si>
    <t>MODULO DE EROGACION TRIFASICO</t>
  </si>
  <si>
    <t>MODULO DE EXPERIMENTACIONES P/INST. INDUSTRIALES</t>
  </si>
  <si>
    <t xml:space="preserve">MODULO DE EXPERIMENTACIONES P/INSTALAC. CIVILES </t>
  </si>
  <si>
    <t>MODULO DETECTOR DE HUMO</t>
  </si>
  <si>
    <t>MODULO DETECTOR TERMICO</t>
  </si>
  <si>
    <t>MODULO PULSADOR DE EMERGENCIAS</t>
  </si>
  <si>
    <t>MOTOR  DAHLANDER</t>
  </si>
  <si>
    <t>MOTOR ASINCRONO TRIFASICO DE ANILLOS</t>
  </si>
  <si>
    <t>MOTOR ASINCRONO TRIFASICO DE JAULA</t>
  </si>
  <si>
    <t xml:space="preserve">MOTOR DC. EXCITACIÓN COMPUESTA </t>
  </si>
  <si>
    <t>MOTOR DE CORRIENTE CONTINUA EXCITACIÓN DERIVADA</t>
  </si>
  <si>
    <t>MOTOR TRIFASICO DE INDUCCION</t>
  </si>
  <si>
    <t>SOPORTE PARA CABLES</t>
  </si>
  <si>
    <t xml:space="preserve">TABURETE GIRATORIO C/RESPALDO Y REGULABLE </t>
  </si>
  <si>
    <t>TALLER DE TRABAJO PORTA MODULO DE EXPERIMENT.</t>
  </si>
  <si>
    <t>VOLANTE</t>
  </si>
  <si>
    <t>COMPRESOR DE AIRE DE 7.5 HP DE TANQUE DE 500 LTS.</t>
  </si>
  <si>
    <t>ANAQUEL DE HERRERIA PARA 6 BATIDORES DE 2.10 X 2.20 X 0.70 (ESTRUCTURA METALICA TIPO PANADERIA C/MADERA)</t>
  </si>
  <si>
    <t xml:space="preserve">BOMBO (GLOBO) DE COBRE GRANDE </t>
  </si>
  <si>
    <t>ESTRUCTURA PARA INSTALACION DE GLOBO CONFITADOR Y MOTOR ACOPLADO DE 1.5 HP. TRIFASICO.</t>
  </si>
  <si>
    <t>MESA DE TRABAJO,BASE DE HERRERIA DE 2.50 X 0.94 MTS.</t>
  </si>
  <si>
    <t>MESA CON PLACA METALICA 11 X 4 X 1.20 X 20 METROS.</t>
  </si>
  <si>
    <t>PLATO P/BOMBO (BASE) CON TORNILLOS</t>
  </si>
  <si>
    <t>RAYADORA DE DISCO PARA COCO EN ACERO INOXIDABLE Y MOTOR ACOPLADO DE 11'' 2 H.P.</t>
  </si>
  <si>
    <t xml:space="preserve">BALANZA P/LA DETERMINACION DE LA HUMEDAD </t>
  </si>
  <si>
    <t>BAÑO ANALOGICO CON TAPA Y TERMOMETRO</t>
  </si>
  <si>
    <t>CONTENEDOR DE NITROGENO LIQUIDO CRIOCONSERVACION CAP. DE 111 LTS. TIEMPO ESTATICO DE 138 DIAS, 4 CANASTILLAS, 40 CAJAS, 4000 AMPOLLETAS, DIMENSIONES. DIAMETRO ESTERNO 22'' ALTURA 38'' CAT. CY50 935-70</t>
  </si>
  <si>
    <t>DESPULPADORA DE FRUTA</t>
  </si>
  <si>
    <t>LAVADORA GIRATORIA DE FRUTAS Y HORTALIZAS</t>
  </si>
  <si>
    <t>MESA DE LLENADO DE ACERO INOXIDABLE</t>
  </si>
  <si>
    <t xml:space="preserve">MESA DE TRABAJO DE ACERO INOXIDABLE DE 1.22 X 2.44 </t>
  </si>
  <si>
    <t>MESA SELECCIONADORA DE ACERO INOXIDABLE</t>
  </si>
  <si>
    <t>REFRACTOMETRO P/SALINIDAD RANGO DE 0 A 100 PPT. EXACTITUD +-PPT. COMPENSACION DE TEMP. AUTOMATICA DE 10 A 30 GRADOS CENTIGRADOS.</t>
  </si>
  <si>
    <t>POLARIMETRO POLYSCIENCE</t>
  </si>
  <si>
    <t>AGITADOR ELECTRICO, PLACA CERAMICA 18 X 18 CM.</t>
  </si>
  <si>
    <t>CAMARA DESECADORAC/ RANURAS P/24 PLACAS</t>
  </si>
  <si>
    <t>ESTUFA DE LABORATORIO</t>
  </si>
  <si>
    <t>CUENTA COLONIAS</t>
  </si>
  <si>
    <t>BAROMETRO</t>
  </si>
  <si>
    <t>CUTER C7 motor cuchillas 5/7 C.V.</t>
  </si>
  <si>
    <t>MOLINO PARA CAFÉ</t>
  </si>
  <si>
    <t>EMBUTIDORA HIDRAULICA CON LAS SIG. CARACTERISTICAS: PARTES EXTERNAS EN ACERO INOXIDABLE. CAPACIDAD DE 30 LITROS. TAPA Y PISTON EN ACERO INOXIDABLE EMBUDO DE MONTAJE RAPIDO. FUNCIONAMIENTO SILENCIOSO CIERRE DIRECTO EN LA TAPA INTERRUPTO DE RODILLA MINIMO MANTENIMIENTO 1.75 HO, 230 V, 60HZ. PARO Y MARCA AUTOMATICA PARA MOTOR TRIFASICO.</t>
  </si>
  <si>
    <t>REBANADORA</t>
  </si>
  <si>
    <t>BASCULA ELECTRONICA L-PCR</t>
  </si>
  <si>
    <t>PLANTA PARA ENVASADO DE AGUA DE GARRAFON COMPUESTA POR: 1 CLORADOR DOSIFICADOR 1 SISTEMA DE PRESURIZACION (HIDRONEUMATICO) 1 FILTRO VERTICAL DE FIBRA DE VIDRIO 14 X 65" MOD. AWP-65 LP 1 FILTRO VERTICAL DE FIBRA DE VIDRIO DE 14" X 65" MOD. AWP-65 CA LAMPARA GERMICIDA DE LUZ ULTRAVIOLETA MOD.  AWP-69 Uv. SUAVIZADOR DE AGUA MOD.  AWP-150 S EQUIPO PARA OSMOSIS INVERSA, MOD. 3000 INSTALACION QUE INCLUYE VALVULAS, CONEXIONES, MATERIAL EN GENERAL</t>
  </si>
  <si>
    <t xml:space="preserve">CENTRIFUGA GERBER 8 PRUEBAS 03 </t>
  </si>
  <si>
    <t>LACTOMETRO BERTUZZI MONOP</t>
  </si>
  <si>
    <t>LIRAS A. INOX. 21X71 J2</t>
  </si>
  <si>
    <t>AGITADOR INOX. 65 CMS.</t>
  </si>
  <si>
    <t>LACTOPROTEINOMETRO BIPRISMACC</t>
  </si>
  <si>
    <t>PULIDORA INDUSTRIAL DE 20 MOTOR DE 1 HP.</t>
  </si>
  <si>
    <t>MINI SPLITS</t>
  </si>
  <si>
    <t>ENFRIADOR DE AGUA</t>
  </si>
  <si>
    <t>CAMARA DIGITAL</t>
  </si>
  <si>
    <t>TANQUE DE ALMACENAMIENTO ROTOPLAS 5000LTS</t>
  </si>
  <si>
    <t>AMASADORA DE TIPO ARAÑA (30K)</t>
  </si>
  <si>
    <t>PLANTA PARA SOLDAR ELECTRICA (TH225/150)</t>
  </si>
  <si>
    <t>TINA LIMPIA MOTORES (TLM-1)</t>
  </si>
  <si>
    <t>EQUIPO PARA DETERMINAR PROTEINA CONSTA DE DIGESTOR Y DESTILADOR: EL APARATO KJELDAHL SE UTILIZA PARA DETERMINAR EL CONTENIDO DE PROTINAS Y NITROGENO</t>
  </si>
  <si>
    <t>ANALIZADOR DE OZONO (DIGITAL) CON REACTIVOS P/LIMPIEZA Y NEUTRALIZACION DE LOS ELECTRODOS</t>
  </si>
  <si>
    <t>LLENADORA SEMIAUTOMATICA PARA BOTELLAS (PET) DE AGUA PURIFICADA CON CAPACIDAD DE LLENADO DE 150 BOTELLAS X HORA CON ACOPLE PARA BOTELLAS DE 500 ML, 1 L Y 1 1/2 DIMENSIONES DE EQUIPO: 1.5 M X .36M  X .9 M (LARGO ANCHO Y ALTO) MOTOR CON POTENCIA 1.5 HP 9229 VOLTS. 1 HP  A 120 VOLTS.</t>
  </si>
  <si>
    <t>FUENTES PARA CHOCOLATE ELABORADA EN ACERO INOXIDABLE  CON CAP. DE 2 KG</t>
  </si>
  <si>
    <t>COMPRESOR MODELO 234DL5</t>
  </si>
  <si>
    <t>151202011230110010006</t>
  </si>
  <si>
    <t>CALIBRADORES ELECTRÓNICOS DE 0-200</t>
  </si>
  <si>
    <t>CALIBRADORES DIGITALES ELECTRONICOS 0-150</t>
  </si>
  <si>
    <t>COMPAS DE EXTERIORES</t>
  </si>
  <si>
    <t>COMPAS DE HERMAFRODITA</t>
  </si>
  <si>
    <t>COMPAS DE INTERIORES</t>
  </si>
  <si>
    <t>COMPAS DE PUNTAS</t>
  </si>
  <si>
    <t>COMPRENSORAS PARA AIRE, PORTATIL CON RUEDAS DE TANQUE DE 113 LTS.</t>
  </si>
  <si>
    <t xml:space="preserve">CORTADORES DE TUBO DE COBRE 1/4'' A 1 5/8'' </t>
  </si>
  <si>
    <t>CORTADORES DE TUBO DE COBRE 1/4'' TRABAJO  PESADO</t>
  </si>
  <si>
    <t xml:space="preserve">CORTADORES P/TUBO DE METALES FERROSOS </t>
  </si>
  <si>
    <t>EQUIPO DE OXIACETILENO P/TRABAJO LIGERO, CARRITO TRANSPORTADOR DE CILINDROS DE CILINDROS DE OXIGENO DE 1.5 M3 (VACIO), CILINDRO DE ACETILENO DE 1.2 KGS. REGULADORES DE OXIGENO Y ACELITENO, MANERAL,  ADITAMENTO CORTE MEZCLADOR, 2 BOQUILLAS P/SOLDAR 2 BOQ. DE CORTE Y 4 MTS.DE MANGUERA P/OXIGENO Y ACETILENO.</t>
  </si>
  <si>
    <t>FRESADO UNIVERSAL CON MESA 2000-5000 MM.</t>
  </si>
  <si>
    <t>GRUAS HIDRHULICAS (PLUMA PLAGABLES) CAP. 1 TONS.</t>
  </si>
  <si>
    <t>INDICADORES DIGITALES</t>
  </si>
  <si>
    <r>
      <t>JGO. DE EXTRACTORE P/USOS GENERALES</t>
    </r>
    <r>
      <rPr>
        <sz val="8"/>
        <color indexed="9"/>
        <rFont val="Arial"/>
        <family val="2"/>
      </rPr>
      <t xml:space="preserve"> (5 JUEGOS)</t>
    </r>
  </si>
  <si>
    <t>JGO. DE HERRAMIENTAS DE 237 PZAS.</t>
  </si>
  <si>
    <t>JGO. DE NUMEROS DE GOLPE P PZAS. "YC"</t>
  </si>
  <si>
    <t xml:space="preserve">JGO.DE ABECEDARIOS DE GOLPE 26 LETRAS Y SIMBOLOS </t>
  </si>
  <si>
    <t>JGOS. DE BLOQUES PATRON</t>
  </si>
  <si>
    <t>LENTES 1-50X  2-100X-700080  3-700054</t>
  </si>
  <si>
    <t>MAQUINA P/ASERRAR MECANICA SEMIAUTOMATICA</t>
  </si>
  <si>
    <t>MAQUINA SOLDADORA DE ARCO ELECTRICO DE TRANSFORM.</t>
  </si>
  <si>
    <t>MAQUINA SOLDADORA DE ARCO ELECTRICO DE TRANSF.</t>
  </si>
  <si>
    <t>MAQUINA SOLDADORA P/ARCO ELECTRICO PROCESO MIG CAP. DE TANQUE 113 LTS. SIN TANQUE</t>
  </si>
  <si>
    <t>MEDIDOR DE ALTURA DIGITAL ELECTRONICO</t>
  </si>
  <si>
    <t>TORNILLO DE BANCA LINEA AZUL</t>
  </si>
  <si>
    <t>MICROMETROS DE EXTERIORES 25-50</t>
  </si>
  <si>
    <t>MICROMETROS DE EXTERIORES 1-2</t>
  </si>
  <si>
    <t>MICROMETROS DE EXTERIORES 0-25</t>
  </si>
  <si>
    <t>MICROMETROS DE EXTERIORES 0-1</t>
  </si>
  <si>
    <t>PINZAS DE PRESION, QUIJADA RECTA</t>
  </si>
  <si>
    <t>PINZAS P/CANDADOS O RETENES EN JGOS. DE 5 PIEZAS</t>
  </si>
  <si>
    <t>PINZAS P/ELECTRICISTA CON MANGO AISLADO</t>
  </si>
  <si>
    <t>PROTECTORES FACIALES TRANSPARENTES</t>
  </si>
  <si>
    <t>TALADRO DE COLUMNA CON CABEZA ENGRANADO DE PISO</t>
  </si>
  <si>
    <t>TERRAJAS ELECTRICAS P/TUBO Y TORNILLO DE BANCO</t>
  </si>
  <si>
    <t>TERRAJAS P/TORNILLO C/ESTUCHE DE MADERAS CON DADOS</t>
  </si>
  <si>
    <t xml:space="preserve">TIJERAS DE LAMINA CORTE RECTO CON LARGO DE 10'' </t>
  </si>
  <si>
    <t>TORNOS PARALELOS P/METALES TIPO DE PISO CON ESCOTE,</t>
  </si>
  <si>
    <t>ROTOMARTILLOS ELECTRONEUMATICOS USO INDUSTRIAL</t>
  </si>
  <si>
    <t>ROTOMARTILLO PORTATIL ELECTRONICO</t>
  </si>
  <si>
    <t>MANDRILES UNIVERSALES DE 3 MORDAZAS</t>
  </si>
  <si>
    <t>PORTABURILES DE 6.3 MM. DERECHO</t>
  </si>
  <si>
    <t>PORTABURILES DE 6.3 MM. IZQUIERDO</t>
  </si>
  <si>
    <t>PORTABURILES DE 6.3 MM. RECTOS</t>
  </si>
  <si>
    <t>JUEGO DE BROCAS A.V. ZANCO RECTO CORTAS</t>
  </si>
  <si>
    <t>JUEGO DE BROCAS DE CARBURO DE TUNGSTENO DE 1.5 A 9.5 MM.</t>
  </si>
  <si>
    <t>BROCAS  PARA CONCRETO CON PUNTA DE CARBURO DE TUNGSTENO</t>
  </si>
  <si>
    <t>CARETAS DE VOLTARETA DE FIBRA DE VIDRIO, CONCHA CURVA Y VENTANA</t>
  </si>
  <si>
    <t>PORTA HERRAMIENTAS PARA HACER CUERDAS, DE 9.5 X 22.2 X 126.9</t>
  </si>
  <si>
    <t>JUEGO DE ADPTADOR, MANDRIL DE 12.7 MM. TORNILLO Y LLAVE</t>
  </si>
  <si>
    <t xml:space="preserve">PODADORA </t>
  </si>
  <si>
    <t>JUEGO DE CABLES PASA CORRIENTE  CALIBRE 8 Y LONGITUD DE 3.6. MTS.</t>
  </si>
  <si>
    <t xml:space="preserve">POLIPASTO DE 2 TN </t>
  </si>
  <si>
    <t>TALADRO CAPACIDAD DE 5/8 ROTOMARTILLO/MARTILLO ELECTRICO</t>
  </si>
  <si>
    <t xml:space="preserve">PULIDOR DE CILINDRO  DE MOTOR  CON CAPACIDAD DE 1-3/16" A 2-3/4" </t>
  </si>
  <si>
    <t>PINZAS PARA CABLES TERMINALES DE BUJIA DE 10" DE LONGITUD.</t>
  </si>
  <si>
    <t>EXTRACTOR PARA RETENES TIPO GAVILAN</t>
  </si>
  <si>
    <t>JUEGO DE LLAVES PURGADORAS DE FRENOS 5/16" - 3/8" Y 1/4" - 3/8"</t>
  </si>
  <si>
    <t xml:space="preserve">PULIDOR PARA CILINDROS  DE FRENO </t>
  </si>
  <si>
    <t xml:space="preserve">ARCO LEVANTA VALVULAS  TIPO ARCO O "C" DE 6-1/4" </t>
  </si>
  <si>
    <t>EXTRACTOR DE BUJES Y RETENES CON 24 PIEZAS.</t>
  </si>
  <si>
    <t xml:space="preserve">JUEGO KIT DE ROTULAS CON ADAPTADOR </t>
  </si>
  <si>
    <t>DESMONTADOR  PARA RESORTES DE SUSPENSIÓN  TIPO MACHPERSON</t>
  </si>
  <si>
    <t>LIMAS PLANAS BASTARDAS DE 12" DE LOG.</t>
  </si>
  <si>
    <t>LIMAS PLANAS MUZAS DE 12" DE LONG.</t>
  </si>
  <si>
    <t>LIMAS MUZAS REDONDAS  DE 12" DE LONG.</t>
  </si>
  <si>
    <t xml:space="preserve">TORQUIMETRO DE 5 A 80 LBS/PIE </t>
  </si>
  <si>
    <t xml:space="preserve">TORQUIMETRO DE 25 A 250 LBS/PIE </t>
  </si>
  <si>
    <t xml:space="preserve">TORNILLO DE BANCO GIRATORIO CON MORDAZA DE 5" DE ANCHO </t>
  </si>
  <si>
    <t xml:space="preserve">TORNILLO DE BANCO GIRATORIO CON MORDAZA DE 6" DE ANCHO </t>
  </si>
  <si>
    <t xml:space="preserve">CALIBRADOR PARA BUJIAS TIPO CIRCULAR DE  020 A 0.1" </t>
  </si>
  <si>
    <t xml:space="preserve">CALIBRADOR PAR ESPACIOS TIPO "LAINA" DE 15 HOJAS </t>
  </si>
  <si>
    <t>MICROMETRO PARA MECANICA AUTOMOTRIZ ( MICROMETRO PARA EXTERIORES)</t>
  </si>
  <si>
    <t>NUMEROS DE GOLPE DE 9 PZAS. DE 1/4"</t>
  </si>
  <si>
    <t>ARCO ESTRUCTURAL PARA SEGUETA TIPO PROFECIONAL</t>
  </si>
  <si>
    <t xml:space="preserve">JUEGO DE 14 DESARMADORES EN CAJA DE PLASTICO </t>
  </si>
  <si>
    <t>DESCRIPCION Y CONTENIDO EN PARTIDA ANTERIOR NO. M-057</t>
  </si>
  <si>
    <t xml:space="preserve">JUEGO DE EXTRACTORES PARA TORNILLO CON PUNTA CONICA EN ESPIRAL </t>
  </si>
  <si>
    <t>EXTRACTOR PARA POLEAS DE ALTERNADOR Y BOMBA DE DIRECCION HIDRAULICA DE 2 PATAS</t>
  </si>
  <si>
    <t>EXTRACTOR PARA POLEAS DE CIGÜEÑAL CON CAPACIDAD DE 1 1/2 A 4 1/2"</t>
  </si>
  <si>
    <t>LLAVES DE IMPACTO NEUMATICAS (CAPACIDAD DE PERNO) 3/4" CON CAPACIDAD DE 30 A 300 PIE-LIB. CON TAMAÑO DE CUADRO DE 1/2"</t>
  </si>
  <si>
    <t xml:space="preserve">AUTOCLE DE 27 PZAS.CON ENTRADA DE 1/4 </t>
  </si>
  <si>
    <t>AUTOCLES DE 50 PZAS. CON ENTRADA DE 1/2".</t>
  </si>
  <si>
    <t>AUTOCLES DE 26 PZAS. CON ENTRADA DE 3/4". AU-06-05</t>
  </si>
  <si>
    <t>AUTOCLES DE 24 PZAS. CON ENTRADA DE 3/8". AU-06-06</t>
  </si>
  <si>
    <t>AUTOCLES DE 29 PZAS. CON ENTRADA DE 1/2" AU-06-07</t>
  </si>
  <si>
    <t>DADOS PARA BUJIAS DE 5/8" CON ENTRADA DE 1/2" CON NEOPRANO. DB-06-01</t>
  </si>
  <si>
    <t>DADOS PARA BUJIAS DE 5/8" CON ENTRADA DE 1/2" CON NEOPRANO. DB-06-02</t>
  </si>
  <si>
    <t>DADOS PARA BUJIAS DE 5/8" CON ENTRADA DE 1/2" CON NEOPRANO. DB-06-03</t>
  </si>
  <si>
    <t>DADOS PARA BUJIAS DE 5/8" CON ENTRADA DE 1/2" CON NEOPRANO. DB-06-04</t>
  </si>
  <si>
    <t>DADOS PARA BUJIAS DE 5/8" CON ENTRADA DE 1/2" CON NEOPRANO. DB-06-05</t>
  </si>
  <si>
    <t>DADOS PARA BUJIAS DE 5/8" CON ENTRADA DE 1/2" CON NEOPRANO. DB-06-06</t>
  </si>
  <si>
    <t>JUEGO DE LLAVES COMBINADAS CROMADAS EN PULGADAS DE 14 PZAS.  JLL-06-02</t>
  </si>
  <si>
    <t>JUEGO LLAVES COMBINADAS CROMADAS EN PULGADAS, CONSTA DE 11 PZAS. JLL-06-04</t>
  </si>
  <si>
    <t>JUEGO LLAVES COMBINADAS CROMADAS EN PULGADAS, CONSTA DE 11 PZAS.  JLL-06-04</t>
  </si>
  <si>
    <t>JUEGO LLAVES COMBINADAS CROMADAS EN PULGADAS, CONSTA DE 11 PZAS. JLL-06-06</t>
  </si>
  <si>
    <t>LLAVES COMBINADAS METRICAS DE 18 PZAS. DE 6 MM A 24 MM  LLM-06-01</t>
  </si>
  <si>
    <t>LLAVES DE ESTRIAS EN PULGADAS  CROMADAS EN ANGULO 45 GRADOS  CONSTA DE 7 PZAS.  LLE-06-04</t>
  </si>
  <si>
    <t>LLAVES DE ESTRIAS EN PULGADAS  CROMADAS EN ANGULO 45 GRADOS  CONSTA DE 7 PZAS.  LLE-06-05</t>
  </si>
  <si>
    <t>LLAVES DE ESTRIAS EN PULGADAS  CROMADAS EN ANGULO 45 GRADOS  CONSTA DE 7 PZAS.  LLE-06-06</t>
  </si>
  <si>
    <t>LLAVES DE ESTRIAS EN PULGADAS  CROMADAS EN ANGULO 45 GRADOS  CONSTA DE 7 PZAS.  LLE-06-07</t>
  </si>
  <si>
    <t>LLAVES EN PULGADAS CON ANGULO DE 15° 6 PIEZAS ABOCINADAS EXTREMO ABIERTO DE 5/16" A 7/8"                                                            LLA-06-01</t>
  </si>
  <si>
    <t>LLAVES DE ESTRIAS CROMADAS  CON UN ANUGULO  DE 45° CONSTA DE 5 PZAS. LLA-06-04</t>
  </si>
  <si>
    <t>LLAVES METRICAS CROMADAS CON UN ANGULO DE 15 GRADOS DE 6 PZAS.   LLM-06-03</t>
  </si>
  <si>
    <t>LLAVE DE ESTRIAS METRICAS CROMADAS CON UN ANGULO DE 45 GRADOS DE 9 PZAS. LLM-06-04</t>
  </si>
  <si>
    <t>LLAVE DE ESTRIAS METRICAS CROMADAS CON UN ANGULO DE 45 GRADOS DE 9 PZAS. LLM-06-05</t>
  </si>
  <si>
    <t>LLAVE DE ESTRIAS METRICAS CROMADA CON UN ANGULO DE 75° GRADOS DE 8 PZAS.  LLM-06-07</t>
  </si>
  <si>
    <t>LLAVE DE ESTRIAS PARA MARCHA (CURVAS)   3 PZAS. DE 7/16 A 3/4" LLM-06-01</t>
  </si>
  <si>
    <t>LLAVE DE ESTRIAS PARA MARCHA (CURVAS)   4 PZAS. DE 10 A 19 MM.  LLM-06-04</t>
  </si>
  <si>
    <t>LLAVES DE ESTRIAS  DE OJO CON MATRACA DE 12 PUNTAS CONSTA DE  5 PZS.  LLO-06-03</t>
  </si>
  <si>
    <t>LLAVES ESPAÑOLAS CROMADAS ANGULO DE 15 GRADOS DE 12 PIEZAS LLE-06-01</t>
  </si>
  <si>
    <t>LLAVES ESPAÑOLAS CROMADAS ANGULO DE 15 GRADOS DE 12 PIEZAS LLE-06-03</t>
  </si>
  <si>
    <t>LLAVES ESPAÑOLAS CROMADAS ANGULO DE 15 GRADOS DE 12 PIEZAS LLE-06-05</t>
  </si>
  <si>
    <t>LLAVES ESPAÑOLAS CROMADAS ANGULO DE 15 GRADOS DE 9 19 MM</t>
  </si>
  <si>
    <t>LLAVES AJUSTABLES TIPO PERICA NEGRA CON CABEZA PULIDA DE 15" DE LONGITUD. LLP-06-04</t>
  </si>
  <si>
    <t>LLAVE AJUSTABLE TIPO PERICA NEGRA CABEZA PULIDA DE 24" DE LONGITUD</t>
  </si>
  <si>
    <t>LLAVES STILSON REFORZADA DE 14"</t>
  </si>
  <si>
    <t>LLAVES STILSON REFORZADA DE 24"</t>
  </si>
  <si>
    <t xml:space="preserve">LLAVE DE  CRUZ PARA AUTOMOBIL CROMADA  DE 4 BOCAS REFORZADA </t>
  </si>
  <si>
    <t>LLAVE PARA FILTRO DE ACEITE  DE BANDA</t>
  </si>
  <si>
    <t>LLAVES  PARA FILTRO DE ACEITE PARA DADO</t>
  </si>
  <si>
    <t>LLAVE PARA FILTRO  ARTICULADA DE 4-7/16"</t>
  </si>
  <si>
    <t>LLAVE PARA FILTRO ARTICULADA DE 5 5/8"</t>
  </si>
  <si>
    <t>MARTILLO DE BOLA DE 2 LIBRAS</t>
  </si>
  <si>
    <t>MARTILO DE BOLA DE 3 LIBRAS</t>
  </si>
  <si>
    <t>MARTILLO  DE BRONCE DE 3 1/2"</t>
  </si>
  <si>
    <t>PINZA PARA MECANICO DE 6 " DE LONGITUD</t>
  </si>
  <si>
    <t>PINZA DE PUNTA CONICA QUIJADA LIZA DE 12"</t>
  </si>
  <si>
    <t>PINZAS DE PRESION  DE 7" DE LONG. ANCHO DE 5/8" RECTOS</t>
  </si>
  <si>
    <t>PINZA DE EXTENSION  DE 10"</t>
  </si>
  <si>
    <t xml:space="preserve">CAMAS PARA MECANICO DE METAL CON RUEDAS  DE NEOPRANO </t>
  </si>
  <si>
    <t>JUEGO DE MACHUELOS DE ALTA VEL.  FRACCIONARIOS DIAMET. 3/8"</t>
  </si>
  <si>
    <t>JUEGO DE MACHUELOS DE ALTA VEL.  FRACCIONARIOS DIAM. 1/2"</t>
  </si>
  <si>
    <t>JUEGO DE MACHUELOS DE ALTA VEL.  FRACCIONARIOS DIAM. 5/8"</t>
  </si>
  <si>
    <t>JUEGO DE MACHUELOS ACERO AL CARBONO DIAM. 8</t>
  </si>
  <si>
    <t>JUEGO DE MACHUELOS ACERO ALCARBONO METRICO  DIAM.10</t>
  </si>
  <si>
    <t>JUEGO DE MACHUELOS ACERO  ALCARBONO METRICO DIAM. 12</t>
  </si>
  <si>
    <t>JUEGO DE MACHUELOS  ACERO AL CARBONO DIAM. 14</t>
  </si>
  <si>
    <t>JUEGO DE MACHUELOS  ACERO AL CARBONO DIAM. 16</t>
  </si>
  <si>
    <t>EQUIPO PARA LAVADO DE INYECTORES POR ULTRASONIDO.</t>
  </si>
  <si>
    <t>LAMPARA DE TIEMPO DIGITAL PARA SISTEMAS CONVENCIONALES  Y ELECTRONICAS.</t>
  </si>
  <si>
    <t>LAMPARA DE PRUEBA DE USO RUDO P/USO ELECTRICO AUTOMOTRIZ DE 12 VOLTS.</t>
  </si>
  <si>
    <t xml:space="preserve">MANOMETRO MULTIPLE ( CON MANGUERA Y ACOPLADORES )  </t>
  </si>
  <si>
    <t>INCLUIDO EN LA PARTIDA NO. M=153</t>
  </si>
  <si>
    <t>EQUIPO RECUPERADOR, EVACUADOR, RECICLADOR Y CARGADOR DE AIRE ACONDICIONADO PARA GAS TIPO R-134A.</t>
  </si>
  <si>
    <t>RAMPA ELECTRO HIDRAULICA  DE 2 POSTES  ASIMETRICOS</t>
  </si>
  <si>
    <t xml:space="preserve">COMPRESORA  PARA AIRE ESTACIONARIO  DE 7 1/2 H.P. PRESION MAX.170 PSI. </t>
  </si>
  <si>
    <t>PROBADOR ELECTRICO DE 12 A 600V S/CONTAC</t>
  </si>
  <si>
    <t>EXTRACTOR/INSERTOR POLEA DIRECCION HIDRAULICA</t>
  </si>
  <si>
    <t>JUEGO DE TAPONES PARA RADIADOR C/8 TAPONES</t>
  </si>
  <si>
    <t>DADO PARA SENSOR DE OXIGENO Y CARRO</t>
  </si>
  <si>
    <t>LIMPIADOR DE RANURAS DE PISTON</t>
  </si>
  <si>
    <t>CAJA PARA HERRAMIENTA (CH-1)</t>
  </si>
  <si>
    <t>ESTACION PARA SOLDAR  (CAUTIN) "WESD51"</t>
  </si>
  <si>
    <t>MAQUINA DE SOLDAR DE RELECTRODO REVESTIDO</t>
  </si>
  <si>
    <t>LAMPARA DE PRUEBA DE INYECTORES PARA 12VLT. P/SISTEMAS GM TBI,BOSCH PFI, FORD TBI, GM PFI, GEO TBI.</t>
  </si>
  <si>
    <t>KIT P/MEDIR PRESION  DE COMBUSTIBLE EN AUTOS F.I.</t>
  </si>
  <si>
    <t>MANOMETRO P/COMPROBAR FUGAS EN VAVULAS , ANILLOS Y CABEZAS</t>
  </si>
  <si>
    <t>OPRESOR DE VALVULAS UNIVERSAL DE LUJO, POSICION DE PALANCA DE 0 A 180°</t>
  </si>
  <si>
    <t>EXTRACTOR DE BRAZOS PITMAN USO LIGERO DE 2 PATAS CON TORNILLO AJUSTABLE</t>
  </si>
  <si>
    <t>EXTRACTOR DE BRAZOS PITMAN  USO PESADO DE 2 PATAS CON TORNILLO AJUSTABLE</t>
  </si>
  <si>
    <t>CALIBRADOR DE PRESIÓN DE AIRE EN NEUMÁTICOS TIPO PROFESIONAL USO RUDO, VARA NEUMÁTICA, DE 0 A 200 LB.</t>
  </si>
  <si>
    <t>ESMERIL DE BANCO DE 8"</t>
  </si>
  <si>
    <t>MANOVACUOMETRO, MEDIDOR DE PRESION MANOMETRICA DE 0 A 30" DE HG DE VACIO</t>
  </si>
  <si>
    <t>EXTRACTOR DE 3 PATAS PARA POLEA DE CIGÜEÑAL PARA MOTORES CHRYSLER</t>
  </si>
  <si>
    <t>JGO. DE DESCONECTOR DE LINEA DE COMBUSTIBLE METALICO 6 PZAS. DE 5/16 1/2 5/8 3/4 Y 7/8</t>
  </si>
  <si>
    <t>JGO. DE DESCONECTOR DE LINEA DE COMBUSTIBLE METALICO 6 PZAS. DE 5/16 1/2 5/8 3/4 Y 7/9</t>
  </si>
  <si>
    <t>NO BREAK (C/REG. ELECTRONICO MICRO SR 1000VA 12 MIN A 1/2 CARGA 4 CONTACTOS</t>
  </si>
  <si>
    <t>TORNO DE CONTROL NUMERICO (BNC CAK 4085, VOLTEO SOBRE BANCADA, LARGO ENTRE PUNTOS, CONTROL CNC, TORRETA VERTICAL DE 4 POSICIONES, CHUC MANUAL 250 MM, JUEGO DE HERRAMIENTAS PARA TORNO CNC</t>
  </si>
  <si>
    <t>FRESADORA DE CONTROL NUMERICO, MESA DE 900 X 406 MM (35" X 16") EJE X, Y, Z (760,430, 400 MM) CONTROL CNC FAGOR 80551/A INCLUYE JUEGO DE HERRAMIENTAS</t>
  </si>
  <si>
    <t xml:space="preserve">TORNO DE CONTROL NÙMERICO BNC 1860 (CONTROL CNC FANUC OITD, VOLTEO SOBRE BANCADA 475MM 18, LARGO ENTRE PUNTOS 1500 MM 40", CONTROL CNC: FANUC 01-TC, INCLUYE: CHUC HIDRAULICO 0200 MM, TORRET HIDRAULICO DE 8 POSICIONES MOD. LS-160, JUEGO DE PORTAHERRAMIENTAS PARA TORRETA LS 160/TB 160 (BNC 1600-2600) </t>
  </si>
  <si>
    <t xml:space="preserve">1 MODULO ENTRENADOR DE ENERGIA SOLAR FOTOVOLTAICA (SISTEMA RODANTE DESMONTADO), INCLULLE MANUAL ENTRENADOR  </t>
  </si>
  <si>
    <t xml:space="preserve">1 MODULO ENTRENADOR DE ENERGIA SOLAR FOTOVOLTAICA (SISTEMA RODANTE DESMONTADO), INCLULLE MANUAL ENTRENADOR </t>
  </si>
  <si>
    <t xml:space="preserve">1 MODULO ENTRENADOR DE ENERGÍA TÉRMICA </t>
  </si>
  <si>
    <t xml:space="preserve">1 ELECTROLIZADOR CON UNA PRODUCCIÓN DE HIDRÓGENO DE 3 LN/h, INCLULLE MANUAL ENTRENADOR </t>
  </si>
  <si>
    <t xml:space="preserve">1 EQUIPO DE PILA DE COMBUSTIBLE  PEM (22 VATIOS), INCLULLE MANUAL ENTRENADOR </t>
  </si>
  <si>
    <t xml:space="preserve">SISTEMA DE ENTRENAMIENTO EN ENERGIA SOLAR/EOLICA MODELO 46801-J2 </t>
  </si>
  <si>
    <t>SISTEMA INTERCONECTADO DE 5 KWP (PANELES SOLARES)</t>
  </si>
  <si>
    <t xml:space="preserve">MESAS DE INSTRUMENTOS CON OSCILOSCOPIOS DE 100 MHZ DIGITAL DE 2 CANALES </t>
  </si>
  <si>
    <t xml:space="preserve">KIT PARA EJERCITACIONES DE ELECTRICIDAD BASICA MOD DL 2160  </t>
  </si>
  <si>
    <t>KIT PARA EJERCITACIONES DE ELECTRICIDAD GENERAL MOD DL 2152</t>
  </si>
  <si>
    <t xml:space="preserve">CHASIS 4 VELOCIDADES,TRANSMISION ESTÁNDAR CON MOTOR A GASOLINA TRABAJANDO EL SISTEMA DE LUCES Y OPERACIÓN DE FRENOS 225 X 130 X 150 H CMS Y 350 KGS DE PESO POSICION TRANSVERSAL </t>
  </si>
  <si>
    <t xml:space="preserve">CHASIS TRACCION DELANTERA A GASOLINA CON CARBURADOR TRABAJANDO EL SISTEMA DE LUCES Y OPERACIÓN TOTAL DE FRENOS 225 X 130 X 150 H  CMS Y 310 KG LONGITUDINAL POSITION </t>
  </si>
  <si>
    <t>CHASIS TRACCION DELANTERA CON MOTOR A DIESEL INYECCION INDIRECTA CON DISTRIBUIDOR TRABAJANDO EL SISTEMA DE LUCES Y OPERACIÓN COMPLETA DE FRENOS DE 225 X130X150 H CMS Y 310 KGS LONGITUDINAL POSITION</t>
  </si>
  <si>
    <t>SISTEMAS DE FRENOS DE TAMBOR Y DISCO DURO DE 120 X32X38 C CMS</t>
  </si>
  <si>
    <t>DEMOSTRADOR DUAL DE DIRECCION DE AUTOMOVIL CON SUSPENSION INDEPENDIENTE</t>
  </si>
  <si>
    <t>DEMOSTRADOR DE DIRECCION DUAL DE AUTOMOVIL</t>
  </si>
  <si>
    <t>JUEGO DE ACCESORIOS</t>
  </si>
  <si>
    <t>MOLDES PARA JAMON</t>
  </si>
  <si>
    <t>MOLINO PARA CARNE</t>
  </si>
  <si>
    <t>ESTUFA INDUSTRIALES DE GRADO ALIMENTICIO CON 2 QUEMADORES</t>
  </si>
  <si>
    <t>TARJA INDUSTRIALES CON GABINETE DE ACERO INOXIDABLE 304 L, GRADO ALIMENTICIO</t>
  </si>
  <si>
    <t>APARATO PARA LA DETERMINACION DE PROTEÌNAS Y CONTENIDO DE NITROGENO POR EL METODO KJELDAHL,COMBINADO DE 6 UNIDADES PARA 500A 800 ML. ALIMENTACIÒN ELECTRICA 127 VOLT 60 HZ</t>
  </si>
  <si>
    <t>DETERMINADOR DE FIBRA CRUDA EN ALIMENTOS Y PRODUCTOS AGRICOLAS DE 6 UNIDADES(NO INCLUYE VIDRIERIA)</t>
  </si>
  <si>
    <t>EXTRACTOR DE GRASAS POR SOLVENTES TIPO GOLFISH DE 6 UNIDADES. INCLUYE 6 JUEGOS DE VIDRIERIA</t>
  </si>
  <si>
    <t>AUTOCLAVE VERTICAL DE 3 CALORES MANUAL DE ACERO INOXIDABLE (DIMENSIONES INTERIORES:25 CM DE DIÀMETRO X 50 CM. DE ALTURA. INDICADOR DE TEMPERATURA BIMETÀLICO,INDICADOR DE PRESIÒN INTERNA(MANÒMETRO), VÀLVULA DE SEGURIDAD. ALIMENTACIÒN ELÈTRICA: 120 VOLTS. 60 HZ</t>
  </si>
  <si>
    <t>PIPETA MOHR DE 1ML (1X1/10)</t>
  </si>
  <si>
    <t>PIPETA MOHR DE 5 ML (5 X 1/10)</t>
  </si>
  <si>
    <t>PIPETA MOHR DE 10 ML (10 X 1/10)</t>
  </si>
  <si>
    <t>PROBETAS DE 10 ML</t>
  </si>
  <si>
    <t>PROBETAS DE 250 ML (EN FACTURA ES DE 50 ML)</t>
  </si>
  <si>
    <t>PROBETAS DE 500 ML (EN FACTURA ES DE 100 ML)</t>
  </si>
  <si>
    <t>TINAS SENCILLAS PARA CUAJADA(CAPACIDAD PARA CUAJAR 100 LTS. DE LECHE FABRICADAS EN ACERO INOXIDABLE T-304 SALIDA DE PRODUCTO DE 2" TIPO CLAMP CON TAPÒN CLAMP Y ABRAZADERA ACABADO SANITARIO</t>
  </si>
  <si>
    <t>PASTEURIZADOR DIDACTICO(CAPACIDAD DE 50 LITROS FABRICADO EN ACERO INOXIDABLE T-304, ENTRADA Y SALIDA DE PRODUCTO DE 2" TIPO CLAMP,CUENTA CON 3 CUERPOS: PRODUCTO, CALENTAMIENTO Y AISLANTE DIMPLE JACKET O SISTEMA DE ABOTONADO TAPAS ABATIBLES, TERMÒMETRO CON TERMOPOZO</t>
  </si>
  <si>
    <t>JUEGOS DE LIRAS PARA CORTAR CUAJADA(CONSTA DE 2 PIEZAS HORIZONTAL Y VERTICAL CON MEDIDAS DE 0.22 X 0.71 MTS,ACABADO 100% SANITARIO FABRICADAS EN ACERO INOXIDABLE T-304 1</t>
  </si>
  <si>
    <t>DESCREMADORA-CLARIFICADORA (CAPACIDAD DE 125 LTS./HR.: BASE DE CUERPO DE MAQUINA, PINTADA CON ESMALTE, CON MOTOR INTEGRAL PARA OPERAR A 110/115 VOLTS,60 CICLOS A TEMPERATURA ENTRE 30 Y 50ª C. CON ADITAMENTO Y HERRAMIENTA PARA SU ARMADO Y DESARMADO FABRICADA EN TODAS LAS PARTES DE LA MAQUINA EN CONTACTO CON LA LECHE EN ALEACIÒN ESPECIAL DE ALUMINIO</t>
  </si>
  <si>
    <t>PRENSAS PARA QUESO (TIPO HOLANDES(CAPACIDAD 100 KG. CUENTA CON UNA SECCIÒN DE PRENSADO CON MEDIDAS DE  50X 50X 1250M. DE ALTO,EQUIPADA CON HUSILLO DE 38 MM DE DIÀMETRO. TUERCA,VOLANTE Y MECA PARA OPRIMIR LAS PLACAS Y CONTRAPESAS FABRICADOS EN HIERRO FUNDIDO,GALVANIZADO POR INMERSIÒN CON OCHO PLACAS DE NYLAMID,COMO ENTREPAÑOS PARA LA PRENSA</t>
  </si>
  <si>
    <t>PASTEURIZADOR LENTO ( CAPACIDAD DE 250 LITROS FABRICADO EN ACERO INOXIDABLE T-304 ENTRADA Y SALIDA DE PRODUCTO DE 2" TIPO CLAMP,NIVELES DE AGUA, CUENTA CON 3 CUERPOS,PRODUCTO,CALENTAMIENTO Y AISLANTE, SISTEMA PARA VAPOR O AGUA HELADA,TAPAS ABATIBLES, TERMÒMETRO CON TERMOPOZO</t>
  </si>
  <si>
    <t>ADQUISICIÒN DE EQUIPO PARA GIMNASIO QUE CONSTA DE CONSTRUCCION DE PALAPA, 2 APARATOS ABDOMINALES,2 APARTOS PARA ESPALDA,2 APARATOS PARA PECHO,2 APARATOS PARA REMO,2 APARATOS CRUCH Y 2 APARATOS ESQUI DUPLEX</t>
  </si>
  <si>
    <t>EQUIPAMIENTO EN FIBRA OPTICA DE LA SALA DE ENTRENAMIENTO(CABLEADO)</t>
  </si>
  <si>
    <t>LABORATORIO DE FISICA QUE CONSTA DE:</t>
  </si>
  <si>
    <t>FRESADORA TOS OLOMOVC INCLUYE: PRENSA GIRATORIA VA-6,SET DE HERRAMIENTAS,SET,CLAM  14 MM 52 PIEZAS</t>
  </si>
  <si>
    <t>TORNO PARALELO INCLUYE:VOLTEO SOBRE BANCADA,500MM LARGO ENTRE PUNTOS 1000MM BARRENO DE HUESILLO 52MM MOTOR 5.5 KW, LUNETA FIJA, Y MOVIL,BRINDA PARA CHUCK (1 PIEZA) BOQUILLA DE REDUCCION,JUEGO DE ENGRANES DE LA LIRA Y RELOJ PARA ROSCAS,CHUCK UNIVERSAL DE 3 MORDAZAS *250 MN,(IUS-250/3 TOS),SET DE HERRAMIENTAS PARA TORNOS CONVENCIONALES FT-TR25-1</t>
  </si>
  <si>
    <t>ROBOT NAO HUMANOIDE DE 25 GRADOS</t>
  </si>
  <si>
    <t xml:space="preserve">ESTACION DE TRABAJO I. FABRICADA EN ACERO INOXIDABLE T-304 INTEGRADA POR 5 GABINETES CON PUERTAS ABATIBLES Y CAJONERA DE EL MISMO MATERIAL , UNA CUBIERTA Y ZOCLO ACABADO PULIDO SANITADO 180 GRITT DE 5 METROS DE LARDO X 0.80 MTS ANCHO Y 0.91 MTS ALTO INCLULLE  CURSO DE CAPACITACION DE ANALISIS FISICOQUIMICO PROXIMALES </t>
  </si>
  <si>
    <t>ESTACION DE TRABAJO II.  FABRICADA EN ACERO INOXIDABLE T-304 INTEGRADA POR 3 GABINETES CON PUERTAS ABATIBLES Y CAJONERAS DEL MISMO MATERIAL, UNA CUBIERTA DESCANSAPIES Y ZOCLO ACABADO  Y PULIDO SANITIZADO 1.80GRITT DE 4.227 MTS DE LARGO X 0.60 MTS DE ANCHO X 0.91 MTS DE ALTO</t>
  </si>
  <si>
    <t xml:space="preserve">ESTACION  DE TRABAJO III. FABRICADA EN ACERO INOXIDABLE T-304 INTEGRADA POR 3 GABINETES CON PUERTAS ABATIBLES Y CAJONERAS EN EL MISMO MATERIAL , UNA CUBIERTA DESCASAPIES Y ZOCLO, ACABADO PULIDO SANITADO 180 GRITT DE 5.00 MTS DE LARGO X 0.60 MTS DE ANCHO X 0.91 MTS DE ALTO </t>
  </si>
  <si>
    <t>CAMAPANA DE HUMOS NO INCLUYE CONDUCTORIA FABRICACIÓN DE UN GABINETE BASE,PARA SOPORTE DE LA CAMPANA  CONSTRUIDO CON DOS PUERTAS ABATIBLES AL FRENTE UN FRENTE APARENTE Y UN ENTREPAÑO, ACONDICIONAMIENTO DE LA VENTANA TIPO GUILLOTINA, LO ANTERIOR ADAPTADONOS A LAS MEDIDAS YA EXISTENTES, NO INCLUYE LA INSTALACION DE NINGUN SERVICIO</t>
  </si>
  <si>
    <t>ANALIZADOR DE 5 GASES CQ</t>
  </si>
  <si>
    <t>MODULO PARA CAMIONES INTERNACIONAL</t>
  </si>
  <si>
    <t>MODULOS PARA CAMIONES ISUZU</t>
  </si>
  <si>
    <t>PROBADOR DE VALVULAS IAC BY PAS</t>
  </si>
  <si>
    <t>MULTIMETRO DIGITAL AUTOMOTRIZ</t>
  </si>
  <si>
    <t>PULSADOR Y SIMULADOR DE INYECTORES</t>
  </si>
  <si>
    <t>PROBADOR DINAMICO DE BOBINAS</t>
  </si>
  <si>
    <t>PROBADOR DE BATERIAS POR CONDUCTANCIA</t>
  </si>
  <si>
    <t>ADQUISICIÓN DE EQUPAMENTO DE UN TALLER DE FRUTAS Y HOSTALIZAS, LA CUAL CONSTA DE UN MODULO DE 4 LINEAS DE PRODUCCION DE ZUNO DE FRUTAS COMO PRIMERA ETAPA DEL EQUIPAMIENTO, LOS MODULOS QUE INTEGRAN LA LINEA DE EXTRACCION DE ESTA PRIMERA ETAPA SON: TRITURADORA DE ESCOFINAS, PRENSA PRO PAQUETES,BOMBA MOVIL Y UNIDAD TERMOSTATICA, ESTOS MODULOS PUEDEN TRABAJARSE INDIVIDUALMENTE DE TAL MANERA QUE SE ESTUDIE CADA PROCESO DE MANERA UNITARIA O BIEN INERCOMUNICANDOLOS ENTRE SI.</t>
  </si>
  <si>
    <r>
      <t>ADQUISICION  DE EQUPIAMENTO DE UN LABORATORIO CORRECTIVO Y PREDICTIVO(SISTEMA DE MANTENIMIENTO PARA UNA MAQUINA CLASIFICADORA DE PIEZAS DE ACUERDO AL CONTRATO DE  ADQUISICION DE EQUIPO ESPECIALIZADO DE FECHA 25 DE OCTUBRE DE 2013 ES UNA APLICACIÓN INDUSTRIAL NEUMATICA Y AUTOMATIZADA, PARTICULARMENTE  ADAPTADA PARA LAS FORMACIONES DE LAS PROFESIONES DE MANTENIMIENTO INDUSTRIAL Y MECATRONICA, SU  FUNCIONAMIENTO ESTA BASADO EN LA SELECCION Y EL ORDENAMIENTO DE PIEZAS EN UNA PRODUCCION EN SERIE, EL SISTEMA ESTA CONCEBIDO PARA ACTIVIDADES DE DIAGNOSTICO,REEMPLAZO DE MATERIAL DEFECTUOSO, MEJORAS TECNICAS DE LA MAQUINA ENTRE OTRAS. COMPUESTO POR -ACTUADORES ROTATIVOS DE PALETAS,CILINDROS CON O SIN VASTAGO GUIADOS Y COMPACTADOS,VENTOSA,GRIPPER, ETC.-DISTRIBUIDOR 5/2 Y 5/3 BI ESTABLES Y MONO ESTABLES-SENSORES ILS INDUCTIVO O MAGNETICO PNP, CAPACITIVO,VACUOSTATO,CODIFICADOR INCREMENTAL Y SENSOR DEL PERFIL DE LA PIEZA INCLUYE</t>
    </r>
    <r>
      <rPr>
        <sz val="8"/>
        <rFont val="Arial"/>
        <family val="2"/>
      </rPr>
      <t xml:space="preserve"> LAPTOP DEL CON NUMERO DE SERIE  2Q1BPY1</t>
    </r>
    <r>
      <rPr>
        <u/>
        <sz val="8"/>
        <rFont val="Arial"/>
        <family val="2"/>
      </rPr>
      <t xml:space="preserve"> </t>
    </r>
    <r>
      <rPr>
        <sz val="8"/>
        <rFont val="Arial"/>
        <family val="2"/>
      </rPr>
      <t xml:space="preserve"> (ASIGNADA A JAVIER GUADALUPE MALDONADO PARTIDA) NOTA CONTIENE LAPTOP DELL Y MESAS PARA IMPRESORA</t>
    </r>
  </si>
  <si>
    <t>EQUIPAMIENTO ESPPECIALIZADO PARA EL PROGRAMA EDUCATIVO DE MANTENIMIENTO INDUSTRIAL (EQUIPO DE NEUMATICA) INCLUYE MATERIAL SEGÚN FACTURA ITI - 229</t>
  </si>
  <si>
    <r>
      <rPr>
        <sz val="8"/>
        <rFont val="Arial"/>
        <family val="2"/>
      </rPr>
      <t xml:space="preserve">1 LOTE  equipamiento especializado para el programa educativo de energías renovables  Modulo fotovoltaico térmico solar) que incluye:                                                  </t>
    </r>
    <r>
      <rPr>
        <sz val="10"/>
        <rFont val="Arial"/>
        <family val="2"/>
      </rPr>
      <t xml:space="preserve"> ( 2 calentador solar 173 Lt P/4 Personas gravedad  acero Inox, MODELO CAL. 15-173 GL  2 Controlador Steca C/Led 20 A  12/24Vcd Max 720W en un SFVA,             2 Controladores  Steca C/Led 20 A  12 /24Vcd Max 720W en un SFVA
4 Panel Solar  Es 40W 17V cd 2.35 A  Standard
1 Inversor Steca 450W 12Vcd 115Vca P/SFVA
2 Bombas Solar 7 A 9 Lt X Min.  C/1 Panel Solar  de 80 W
2 Pinza Amperimetrica 1000Vcd/1000Vca 1000 A 400Mhz 66M-ohms
</t>
    </r>
  </si>
  <si>
    <t>KITS PARA ENSAMBLE DE ROBOTS vex, Classroom AND COMPETITION SUPER KIT</t>
  </si>
  <si>
    <t>ESCANER  AUTOMOTRIZ AUTEL MODELO DS 808</t>
  </si>
  <si>
    <r>
      <rPr>
        <b/>
        <sz val="8"/>
        <rFont val="Arial"/>
        <family val="2"/>
      </rPr>
      <t>1 LOTE DE EQUIPAMIENTO  ESPECIALIZADO  PARA EL PROGRAMA EDUCATIVO DE MECÁNICA QUE INCLUYE:</t>
    </r>
    <r>
      <rPr>
        <b/>
        <sz val="10"/>
        <rFont val="Arial"/>
        <family val="2"/>
      </rPr>
      <t xml:space="preserve">
1 Scanner para vehículos con motor diesel
1 osciloscopio automotriz
1KIT de herramientas de mano neumática:                                                                                                1 remachadora neumática 3/32”- ¼” uso pesado                                                                                             1 cortadora neumática de disco 3” 20000rpm,                                                                                                     1 esmeriladora neumática angular 4” 11000 uso extra pesado,                                                            1 taladro  neumático de 3/8” 2200rpm uso pesado   1 martillo neumático 3200 gpm usp pesado                   1 juego de matracas neumática UP886H de ½” 12   piezas en pulgadas,                                                     1 pistola de impacto neumática ½” 442ft – lb      sistema uso extra pesado 
1 KIT De herramientas de mano estándar:  que incuyen: (1caja metálica,15 dados, 4 pinzas,  3 llaves, 5 herramientas para atornillar,  66 herramientas varias)
</t>
    </r>
  </si>
  <si>
    <t>DESGLOSADO</t>
  </si>
  <si>
    <t>151202011230110010008</t>
  </si>
  <si>
    <t>BANCO DE HIDRAHULICA PROPORCIONAL</t>
  </si>
  <si>
    <t xml:space="preserve">BANCO DE NEUMATICA BASICA </t>
  </si>
  <si>
    <t>CABEZAS MICROMETRICAS</t>
  </si>
  <si>
    <t>CIZALLA DE PEDAL DE 1.22 MTS. (4'') DE LONG. PARA CAP. 166 (1.5 MM.) CON TOPE TRASERO .</t>
  </si>
  <si>
    <t>COMPARADOR OPTICO</t>
  </si>
  <si>
    <t>INDICADOR DE CARATULA</t>
  </si>
  <si>
    <t>JUEGO DE ESCUADRAS DE 150 X 100 MM.</t>
  </si>
  <si>
    <t>MESA DE GRANITO</t>
  </si>
  <si>
    <t>MICROMETRO DIGITAL, ELECTRONICO Y MANUAL 0-1</t>
  </si>
  <si>
    <t>MICROMETRO DIGITAL, ELECTRONICO Y MANUAL 1-2</t>
  </si>
  <si>
    <t>MICROMETRO DIGITAL, ELECTRONICO Y MANUAL 0-6</t>
  </si>
  <si>
    <t xml:space="preserve">PRENSA DE MONTAJE PARA PROBETA </t>
  </si>
  <si>
    <t xml:space="preserve">PRENSA HIDRAHULICA TIPO "H" DE PISO CAP. DE 20 TONS. CILINDRO 165 MM. (6 1/2) </t>
  </si>
  <si>
    <t>VISCOSIMETRO DIAL C/SOPORTE Y JGO.AGUJAS</t>
  </si>
  <si>
    <t>MICROSC. BINOCULAR GALEN 111,3A120,</t>
  </si>
  <si>
    <t>BALANZA ANALITICA CAP.210 G. SENSIBILIDAD 0.1MG. CON CALIBRACION INTERNA</t>
  </si>
  <si>
    <t>MUFLA DIGITAL VOLTAJE 120V. TIEMPO P/TEMP. MAXIMA 40 MIN. MEDIDAS EXT. 24X22X15 CM. MEDIDAS INT. 12X12X15 CM. PESO 10 KG. WATTS 1500 TEMP. MAXIMA DE OPER. 1100 Oc SENSIBILIDAD 15oC.</t>
  </si>
  <si>
    <t>ESCURRIDERO CON BAÑO DE NEOPRENO,SIN CHAROLA.</t>
  </si>
  <si>
    <t>MECHERO TIPO FESHER PARA ALTA TEMPERATURA</t>
  </si>
  <si>
    <t xml:space="preserve">SUAVIZADOR DE AGUA </t>
  </si>
  <si>
    <t>VACUMETRO MANUAL CONSTRUIDO CON ACERO INOX.</t>
  </si>
  <si>
    <t>CAMPANA DE FLUJO LAMINAR  DE 1,33 X 0,96 X 1,7 M.</t>
  </si>
  <si>
    <t>INCUBADORA DE CO2 C/3 ENTREPAÑOS</t>
  </si>
  <si>
    <t>SISTEMA HIDRONEUMATICO CON TANQUE DE FIBRA DE VIDRO DE 20 GAL. MOTOR BOMBA DE 1HP FIX 10 EN ACERO INOXIDABLE 115VLTS.</t>
  </si>
  <si>
    <t>COMBO DE ROTOMARTILLO 20 + LLAVE DE IMPACTO QUE INCLUYE: ATORNILLADOR NORMAL  Modelo DCD785 Y ATORNILLADOR DE IMPACTO Modelo DCF885</t>
  </si>
  <si>
    <t>TURBINA EÓLICA 48V 4000W MAX MODELO MARINE</t>
  </si>
  <si>
    <t>1 KID DE INSTALACIÓN</t>
  </si>
  <si>
    <t>1 PZA. DE BATERIA 12VOLT MODELO J185H-AC</t>
  </si>
  <si>
    <t xml:space="preserve">1 PZA. INVERSOR DC-AC  MODELO PST-1500-24 </t>
  </si>
  <si>
    <t>PODADORA</t>
  </si>
  <si>
    <t>DESBROSADORA</t>
  </si>
  <si>
    <t xml:space="preserve">PODADORA HONDA 5.5 H.P. HONDA S. TRASERA  C/BOLSA RECOLECTORA  MODELO HRN 216 - PKM </t>
  </si>
  <si>
    <t>ESCALERAS DE EXTENCION  FIBRA DE VIDRIO 28/ESC 534-28N</t>
  </si>
  <si>
    <t>151202011230110010003</t>
  </si>
  <si>
    <t>ASTA BANDERA DE 18 MTS. DE ALTURA, 8 " DE DIAMETRO</t>
  </si>
  <si>
    <t>LINEAS COMERCIALES X VTA. EQUIPO TERMINAL.</t>
  </si>
  <si>
    <t>MEMORY STICK 1 GB</t>
  </si>
  <si>
    <t>DVD</t>
  </si>
  <si>
    <t>TELEVISION PANTALLA PLANA LCD 32"</t>
  </si>
  <si>
    <t>RADIO GRABADORA, REPROD. CD,MP3,CASSETES</t>
  </si>
  <si>
    <t>SISTEMAS SONIDO PORTATIL</t>
  </si>
  <si>
    <t>CABLEADO ESTRUCTURADO DE LA RED DE VOZ Y DATOS</t>
  </si>
  <si>
    <t>TARJETA DE RED INALAMBRICA (VA INSTALADO EN EL EQPO. DE COMPUTO MXJ8430244</t>
  </si>
  <si>
    <t>TARJETA DE RED INALAMBRICA (VA INSTALADO EN EL EQPO. DE COMPUTO MXJ843024K</t>
  </si>
  <si>
    <t>TARJETA DE RED INALAMBRICA (VA INSTALADO EN EL EQPO. DE COMPUTO MXJ843024T</t>
  </si>
  <si>
    <t>TARJETA DE RED INALAMBRICA (VA INSTALADO EN EL EQPO. DE COMPUTO MXJ843024S</t>
  </si>
  <si>
    <t>TARJETA DE RED INALAMBRICA (VA INSTALADO EN EL EQPO. DE COMPUTO</t>
  </si>
  <si>
    <t>PAQUETE CCNA QUE CONTIENE KIT DE SERVICIO CABLEADO Y ESTRUCTURADO MARCA PALADIN MOD 901039 QUE CONTIENE:CORTADOR PROF. DEL KT 8-900265 DATA SURESTRIP,LC CST CATV-1257 MARCO ERGONOMICO DEL ARRUGADOR CRIMPALL/8000/1300 SERIE SUREPUNCH FAVORABLE PDTS LAMINA 66 SUREPUNCH FAVORABLE PDTS,LAN PRONAVIGATOR *TESTER LAN CABLE-CHECK SISTEMA DE LA PRUEBA DEL TELEFONO DE BNC(VARON) Y 10 MULTIMETROS PARA ENTRENAMIENTO ELECTRICO MARCA FLUKE MOD 117(CONSUMIBLES)</t>
  </si>
  <si>
    <t>CPU (CORE I 5 ,3 GIGAS MEMORIA RAM Y DISCO DURO DE 500 GIGAS)</t>
  </si>
  <si>
    <t>MESA DE 1.20 X 70 CM CON BASE Y FALDON DE ACERO</t>
  </si>
  <si>
    <t>REMANENTE EN SALA DE INFORMATICA QUE CONSTA DE 5 FACE PLATE DE DOS NETKEY,10 JACK NETKEY BLANCO CATSE,10 JACK NETKEY  AZUL CATSE, 5 CAJAS UNIVERSAL NETKEY INCLUYE TAPON CIEGO,5 CANALETAS PARA CABLEADO DE INTERNET,TRAMO DE 2 1/2 MTS,1 JACK NETKEY ROJO CATSE</t>
  </si>
  <si>
    <t>TORRE DE COMUNICACIÓN DE 24 METROS, INCLUYE; 8 TRAMO STZ30, 1COPETE, 1 BASE, 1 ANCLA PARA BASE DE TORRE, 3 ANCLAS DE PISO, 315 METROS DE RETENIDA DE 1/8", 4 JUEGOS DE BRIDAS, 48 NUDOS PARA CABNLE DE 3/16", 12 TENSORES DE 1/2", TORNILLERA EN GENERAL, PROTECTOR ANTICORROSIVO, PINTURA REGLAMENTARIA PARA TORES DE COMUNICACIÓN, 4 TUVOS DE CONCRETO PARA SOPORTE DE ANCLAS DE BASE DE RETINA. (TORRE INSTALADA)</t>
  </si>
  <si>
    <t>ANTENA DE 24 DBI TIPO PLATO</t>
  </si>
  <si>
    <t>CABLE UTP PARA EXIBIDOR BLINDADO</t>
  </si>
  <si>
    <t>INSTALACION Y CONFIGURACION DE ENLACE INALAMBRICO</t>
  </si>
  <si>
    <t>ACCESS POINT ROCKET M2 EN 2.4 GHZ</t>
  </si>
  <si>
    <t>RADIO MOVIL-BASE MOD TK8302, INCLUYE MICROFONO Y CABLE DE ALIMENTACION Y 9 RADIOS</t>
  </si>
  <si>
    <t>FUENTE DE ALIMENTACION MODELO G64502</t>
  </si>
  <si>
    <t>MASTIL LIGERO DE 6 METROS MODELO SLM6 INSTALACION Y VIATICOS</t>
  </si>
  <si>
    <t>CONMUTADOR MARCA</t>
  </si>
  <si>
    <t xml:space="preserve">VIDEO PROYECTOR POWERLITE S31 +, QUE  INCLUYE  PARA SU INSTALACIÓN:   EL  SOPORTE, EL  CABLE VGA Y EL CABLE HDMI
</t>
  </si>
  <si>
    <t>Cowboy robot kit (4 monitores incluidos) corteza micro controladores VEX net joystick y VEX nET  LLAVES  USB adapted Robot de Bateria y cargador limite switch jit Bumper kit conmmutador potenciometro 2 pack telemetro ultrasónido línea rastreador. 2  Manhattan kid de herramientas para computadora y reparacion en hogar y oficina 145 pzas</t>
  </si>
  <si>
    <t>151202011230110010011</t>
  </si>
  <si>
    <t>FREIDOR DE INMERSION CON TINA TIPO ABIERTO DE ACERO INOX. MODELO SPITE FIRG</t>
  </si>
  <si>
    <t>ASADOR A GAS Y CARBON EN ACERO INOXIDABLE, PATAS DE ANGULO ESTRUCTURAL DE 2" X 3/16" CON REGATON REGULABLE MODELO 30</t>
  </si>
  <si>
    <t>PLANCHA TIPO AMERICANO FREIDOR DE COLO ROLLED DE 5/8" DE ESPESOR, TOTALMENTE SOLDADA A LA CERCHA  MODELO CRATG 36</t>
  </si>
  <si>
    <t>ESTUFA 4 QUEMADORES PLANCHA Y HORNO DE SUPERFICIE DE FIERRO FUNDIDO DE FORMA OCTAGONAL MODELO V6P</t>
  </si>
  <si>
    <t>SALAMANDRA DE GATILLO CON SISTEMA DE AISLAMINETO CON FIBRA DE VIDRIO DE 2" DE ESPESOR MODELO COLGANTE</t>
  </si>
  <si>
    <t>FOGON DE UNA SECCION CONCENTRICO CIRCULAR INDEPENDIENTE A GAS MODELO I-S</t>
  </si>
  <si>
    <t>TRAMPA DE GRASA CON TAPA DE FIERRO FUNDIDO CON TERMINADO ANTIDERRAPANTE MODELO TG-95</t>
  </si>
  <si>
    <t>CAMPANA PARA EXTRACCION DE HUMOS GRASOS TIPO CUBICA DE 3.60 X 1.20 X .50 MTS. MODELO SCC-360</t>
  </si>
  <si>
    <t>MESA DE TRABAJO DE 2.90 X 0.70 X 0.90 CON LAMBRIN A LA PARED Y BASTIDOR PERIMETRAL    MODELO SMTISE-290</t>
  </si>
  <si>
    <t>BASE DE ANGULO PARA ASADOR MODELO BASE A30</t>
  </si>
  <si>
    <t>ANAQUEL DE RECIBO DE A. NOX. MODELO SAIL</t>
  </si>
  <si>
    <t>MESA DE TRABAJO CON TARJA DE 2.25 X 0.70 X 0.90 MTS. CUBIERTA LISA CON LAMBRIN A LA PARED I/C/E MODELO SMTITCE-225</t>
  </si>
  <si>
    <t>MESA DE TRABAJO EN ISLA DE 2.90  X 0.70 X 0.90 MTS. CUBIERTA LISA C/LAMBRIN S/E 2-90 MODELO SMASE-290</t>
  </si>
  <si>
    <t>CAMPANA PARA CONSENSADOS DE VAPORES, FABRICADO EN LAMINA DE ACERO INOXIDABLE DE 0.90 X 0.90 X 0.36 MTS. MODELO SCCY-90</t>
  </si>
  <si>
    <t>LAVAMANOS EN ACERO INOXIDABLE P/EMPOTRAR A MUROS DE 0.40 X 0.40 X 0.15 MTS. DE FONDO MODELO SI-40</t>
  </si>
  <si>
    <t>GABINETE PARA CAFETERA DE 1.00 X 0.70 X 0.90 MTS.MODELO SGC-100</t>
  </si>
  <si>
    <t>MESA DE TRABAJO DE 1.50 X 0.70 X 0.70 X 0.90 MTS. CUBIERTA LISA CON LAMBRIN MODELO SM12TSE-150</t>
  </si>
  <si>
    <t>REFRIGERADOR  VERTICAL DE 2 PUERTAS DE CRISTAL DE 1.30 X 1.79 X 0.74 MTS. MODELO REB-630</t>
  </si>
  <si>
    <t>MESA PARA RECIBO DE LOZA SUCIA EN "L" DE 0.90 X 3.00 X 1.80 X 0.76 X 0.90 MTS. MODELO SMR2SL-300</t>
  </si>
  <si>
    <t>MESA PARA RECIBO DE LOZA LIMPIA DE 1.60 X 0.76 X 0.90 MTS. MODELO SMRLL-160</t>
  </si>
  <si>
    <t>BASTIDOR PARA GARABATO, OLLAS, DE 2.50 X 0.30 X 0.30 MTS.FABRICADO EN TUBOS DE ACERO INOXIDABLE MODELO SB60-250</t>
  </si>
  <si>
    <t>BARRA DE SERVICIOS A MESEROS DE 3.00 X 0.90 X 0.90 MTS. MODELO SBSMR-3</t>
  </si>
  <si>
    <t>MESA DE TRABAJO DE 2.50 X 0.70 X 0.90 MTS. CUBIERTA LISA CON LAMBRIN A LA PARED. MODELOSMTCE-250</t>
  </si>
  <si>
    <t>MAQUINA LAVALOSA ANGELO PO DE 0.68 X 0.68 X 1.40 MTS. CAPACIDAD PARA 900 PLATOS  MODELO K100N</t>
  </si>
  <si>
    <t>FREGADERO  CON TRIPLE TARJA PARA LAVADO DE VERDURAS DE 2.50 X 0.70 MTS. MODELO SFTLOCE-260</t>
  </si>
  <si>
    <t xml:space="preserve">MANGUERA DE PRELAVADO </t>
  </si>
  <si>
    <t>TRAMPA DE GRASA MODELO TG-95</t>
  </si>
  <si>
    <t>REFRIGERADOR VERTICAL</t>
  </si>
  <si>
    <t>LICUADORA INDUSTRIAL  A.I  CAP. 5 LTS</t>
  </si>
  <si>
    <t>EXPRIMIDOR P/JUGO DE TORONJA MANUAL</t>
  </si>
  <si>
    <t>EXPRIMIDOR P/JUGO DE NARANJA MANUAL</t>
  </si>
  <si>
    <t>BARRA DESPACHADOR DE BEBIDAS</t>
  </si>
  <si>
    <t>BASCULA MECANICA ROMANA CUCHARON</t>
  </si>
  <si>
    <t xml:space="preserve">CAJA REGISTRADORA </t>
  </si>
  <si>
    <t>REFRIGERADOR 10 PULG.</t>
  </si>
  <si>
    <t xml:space="preserve">SILLAS DUNA MOD.  BREXIA CON DESCANSABRAZOS  </t>
  </si>
  <si>
    <t>MESA DUNA  MODELO VERONA  DE 2.40 CM.</t>
  </si>
  <si>
    <r>
      <t xml:space="preserve">1 EQUIPAMIENTO ESPECIALIZADO PARA EL PROGRAMA EDUCATIVO DE GASTRONOMIA            (ADQUISICION DE EQUIPO DE ALTA COSINA          </t>
    </r>
    <r>
      <rPr>
        <sz val="8"/>
        <rFont val="Arial"/>
        <family val="2"/>
      </rPr>
      <t>"HORNO INTELIGENTE")</t>
    </r>
  </si>
  <si>
    <t>1 EQUIPAMIENTO ESPECIALIZADO PARA EL PROGRAMA EDUCATIVO DE PROCESOS ALIMENTARIOS                                                                          (ESTUFA PARA DETERMINACIÓN PARA LA VIDA DE ANAQUEL)</t>
  </si>
  <si>
    <t xml:space="preserve">HORNO DE USOS MULTIPLES                                                                                                                          Mueble construido en acero inoxidable calibre 16, 18 y 20. Base y posterior en lámina esmaltada epóxica para evitar corrosión.                                                                                                                                                  Patas en lámina negra calibre 12 esmaltada y de tipo triangular reforzado                                                             Puerta en marco estructurado y contrapuerta porcelanizada totalmente aislada, equipada con contrapesos  de fierro fundido y brazos de solera ½  X 1 pulgada. Equipado con quemador en forma ?H? de fierro fundido de alta capacidad. Termostato de gas de 0 y 300 grados centígrados. Interior totalmente porcelanizado.                                                                                 Doble parrilla de alambrón cromado.                                                                                                                                     Sistema de aislamiento con fibra de vidrio de 3 pulgadas de espesor.                                                                              Tubo de alimentación  de ½ pulgada cédula 40. Sistema apilable que permite montar hasta dos secciones (DUPLEX). Garantía un año. Servicio y refacciones San –Son </t>
  </si>
  <si>
    <t>ESTUFA INDUSTRIAL DE 4 QUEMADORES                                                                                                  PARRILLA: ? 4 quemadores tipo hélice 5.5 seccionados de hierro fundido de 33,000 btu cada uno. ?  Parrilla de superficie de hierro fundido ?   Piloto individual ?  PLANCHA: ? Planchas flotante de cold rolled de ½ “” de espesor.  ?  Quemador de hierro fundido tipo Flauta de 28,000 btu  ?  Cercha perimetral desmontable. ? HORNO: ? Interior totalmente en Acero Inoxidable. ? Quemador tipo flauta de hierro fundido de 26,000 btu ? Piloto atmosférico para encendido ? Termostato profesional a gas de 0 a 250° c. ? Parrilla y racks de alambrón niquelado. ? Puerta con aislamiento y embutido para evitar perdida de temperatura. FRENTE: 0.917 FODO: 0.76 ALTO: 1.035</t>
  </si>
  <si>
    <t xml:space="preserve">CONGELADOR HORIZONTAL 7 FT 3 TAPA COFRE </t>
  </si>
  <si>
    <r>
      <t xml:space="preserve">Nombre del Ente: </t>
    </r>
    <r>
      <rPr>
        <b/>
        <u/>
        <sz val="11"/>
        <rFont val="Arial"/>
        <family val="2"/>
      </rPr>
      <t xml:space="preserve"> Universidad Tecnológica De La Costa Grande De Guerrero_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</si>
</sst>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5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8"/>
      <color indexed="81"/>
      <name val="Tahoma"/>
      <family val="2"/>
    </font>
    <font>
      <b/>
      <sz val="11"/>
      <name val="Calibri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9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rebuchet MS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3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2" tint="-0.89999084444715716"/>
      <name val="Arial"/>
      <family val="2"/>
    </font>
    <font>
      <u/>
      <sz val="10"/>
      <color theme="2" tint="-0.89999084444715716"/>
      <name val="Arial"/>
      <family val="2"/>
    </font>
    <font>
      <b/>
      <sz val="10"/>
      <color theme="4" tint="-0.249977111117893"/>
      <name val="Arial Narrow"/>
      <family val="2"/>
    </font>
    <font>
      <sz val="10"/>
      <color rgb="FF0000FF"/>
      <name val="Arial Narrow"/>
      <family val="2"/>
    </font>
    <font>
      <i/>
      <sz val="11"/>
      <color rgb="FF000000"/>
      <name val="Arial Narrow"/>
      <family val="2"/>
    </font>
    <font>
      <sz val="9"/>
      <color theme="3" tint="0.39997558519241921"/>
      <name val="Arial"/>
      <family val="2"/>
    </font>
    <font>
      <b/>
      <sz val="9.5"/>
      <color rgb="FF000000"/>
      <name val="Arial"/>
      <family val="2"/>
    </font>
    <font>
      <b/>
      <sz val="9"/>
      <color rgb="FF000000"/>
      <name val="Arial"/>
      <family val="2"/>
    </font>
    <font>
      <b/>
      <u/>
      <sz val="10"/>
      <color theme="2" tint="-0.89999084444715716"/>
      <name val="Arial"/>
      <family val="2"/>
    </font>
    <font>
      <b/>
      <sz val="10"/>
      <color theme="2" tint="-0.89999084444715716"/>
      <name val="Arial"/>
      <family val="2"/>
    </font>
    <font>
      <sz val="14"/>
      <color theme="0"/>
      <name val="Arial"/>
      <family val="2"/>
    </font>
    <font>
      <sz val="10"/>
      <color theme="5" tint="-0.49998474074526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.5"/>
      <name val="Arial"/>
      <family val="2"/>
    </font>
    <font>
      <b/>
      <u/>
      <sz val="11"/>
      <name val="Arial"/>
      <family val="2"/>
    </font>
    <font>
      <b/>
      <sz val="8"/>
      <color rgb="FF000000"/>
      <name val="Arial"/>
      <family val="2"/>
    </font>
    <font>
      <sz val="8"/>
      <color indexed="9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3"/>
      </bottom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/>
      <right/>
      <top style="double">
        <color indexed="63"/>
      </top>
      <bottom style="double">
        <color indexed="63"/>
      </bottom>
      <diagonal/>
    </border>
    <border>
      <left/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>
      <alignment wrapText="1"/>
    </xf>
    <xf numFmtId="0" fontId="1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3" fillId="23" borderId="4" applyNumberFormat="0" applyFont="0" applyAlignment="0" applyProtection="0"/>
    <xf numFmtId="9" fontId="1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5" fillId="0" borderId="8" applyNumberFormat="0" applyFill="0" applyAlignment="0" applyProtection="0"/>
    <xf numFmtId="0" fontId="1" fillId="0" borderId="0"/>
  </cellStyleXfs>
  <cellXfs count="132">
    <xf numFmtId="0" fontId="0" fillId="0" borderId="0" xfId="0"/>
    <xf numFmtId="0" fontId="1" fillId="24" borderId="0" xfId="46" applyFill="1" applyProtection="1">
      <protection hidden="1"/>
    </xf>
    <xf numFmtId="0" fontId="1" fillId="24" borderId="0" xfId="46" applyFill="1" applyProtection="1"/>
    <xf numFmtId="0" fontId="1" fillId="24" borderId="0" xfId="46" applyFont="1" applyFill="1" applyProtection="1"/>
    <xf numFmtId="0" fontId="1" fillId="24" borderId="0" xfId="46" applyFont="1" applyFill="1" applyProtection="1">
      <protection hidden="1"/>
    </xf>
    <xf numFmtId="0" fontId="1" fillId="25" borderId="9" xfId="46" applyFill="1" applyBorder="1" applyAlignment="1" applyProtection="1">
      <alignment horizontal="center" vertical="center" wrapText="1"/>
      <protection hidden="1"/>
    </xf>
    <xf numFmtId="0" fontId="1" fillId="25" borderId="9" xfId="46" applyFill="1" applyBorder="1" applyAlignment="1" applyProtection="1">
      <alignment horizontal="center" vertical="center"/>
      <protection hidden="1"/>
    </xf>
    <xf numFmtId="0" fontId="38" fillId="0" borderId="10" xfId="46" applyFont="1" applyFill="1" applyBorder="1" applyAlignment="1" applyProtection="1">
      <alignment horizontal="center" vertical="center"/>
      <protection hidden="1"/>
    </xf>
    <xf numFmtId="0" fontId="38" fillId="0" borderId="10" xfId="32" applyFont="1" applyFill="1" applyBorder="1" applyAlignment="1" applyProtection="1">
      <protection hidden="1"/>
    </xf>
    <xf numFmtId="0" fontId="38" fillId="0" borderId="10" xfId="32" applyFont="1" applyFill="1" applyBorder="1" applyAlignment="1" applyProtection="1"/>
    <xf numFmtId="0" fontId="38" fillId="0" borderId="10" xfId="32" applyFont="1" applyFill="1" applyBorder="1" applyAlignment="1" applyProtection="1">
      <alignment vertical="center"/>
      <protection hidden="1"/>
    </xf>
    <xf numFmtId="0" fontId="38" fillId="0" borderId="37" xfId="46" applyFont="1" applyFill="1" applyBorder="1" applyAlignment="1" applyProtection="1">
      <alignment horizontal="center" vertical="center"/>
      <protection hidden="1"/>
    </xf>
    <xf numFmtId="0" fontId="38" fillId="0" borderId="38" xfId="32" applyFont="1" applyFill="1" applyBorder="1" applyAlignment="1" applyProtection="1">
      <protection hidden="1"/>
    </xf>
    <xf numFmtId="0" fontId="38" fillId="0" borderId="37" xfId="32" applyFont="1" applyFill="1" applyBorder="1" applyAlignment="1" applyProtection="1">
      <alignment horizontal="center" vertical="center"/>
      <protection hidden="1"/>
    </xf>
    <xf numFmtId="0" fontId="38" fillId="0" borderId="39" xfId="32" applyFont="1" applyFill="1" applyBorder="1" applyAlignment="1" applyProtection="1">
      <protection hidden="1"/>
    </xf>
    <xf numFmtId="0" fontId="38" fillId="0" borderId="0" xfId="46" applyFont="1" applyFill="1" applyProtection="1"/>
    <xf numFmtId="0" fontId="38" fillId="0" borderId="10" xfId="32" applyFont="1" applyFill="1" applyBorder="1" applyAlignment="1" applyProtection="1">
      <alignment horizontal="center"/>
    </xf>
    <xf numFmtId="0" fontId="38" fillId="0" borderId="10" xfId="0" applyFont="1" applyFill="1" applyBorder="1" applyAlignment="1" applyProtection="1">
      <alignment horizontal="center" vertical="center"/>
    </xf>
    <xf numFmtId="0" fontId="38" fillId="0" borderId="10" xfId="32" applyFont="1" applyFill="1" applyBorder="1" applyAlignment="1" applyProtection="1">
      <alignment wrapText="1"/>
    </xf>
    <xf numFmtId="0" fontId="38" fillId="0" borderId="10" xfId="32" applyFont="1" applyFill="1" applyBorder="1" applyAlignment="1" applyProtection="1">
      <alignment horizontal="center" vertical="center"/>
    </xf>
    <xf numFmtId="0" fontId="38" fillId="0" borderId="10" xfId="32" applyFont="1" applyFill="1" applyBorder="1" applyAlignment="1" applyProtection="1"/>
    <xf numFmtId="0" fontId="39" fillId="0" borderId="10" xfId="32" applyFont="1" applyFill="1" applyBorder="1" applyAlignment="1" applyProtection="1">
      <alignment wrapText="1"/>
    </xf>
    <xf numFmtId="0" fontId="38" fillId="0" borderId="39" xfId="32" applyFont="1" applyFill="1" applyBorder="1" applyAlignment="1" applyProtection="1">
      <alignment horizontal="left" vertical="center"/>
      <protection hidden="1"/>
    </xf>
    <xf numFmtId="0" fontId="38" fillId="0" borderId="38" xfId="32" applyFont="1" applyFill="1" applyBorder="1" applyAlignment="1" applyProtection="1">
      <alignment horizontal="left"/>
      <protection hidden="1"/>
    </xf>
    <xf numFmtId="0" fontId="1" fillId="26" borderId="0" xfId="46" applyFill="1" applyProtection="1">
      <protection hidden="1"/>
    </xf>
    <xf numFmtId="0" fontId="22" fillId="0" borderId="0" xfId="0" applyFont="1" applyAlignment="1"/>
    <xf numFmtId="0" fontId="23" fillId="0" borderId="0" xfId="0" applyFont="1"/>
    <xf numFmtId="0" fontId="40" fillId="0" borderId="0" xfId="0" applyFont="1" applyAlignment="1">
      <alignment horizontal="right"/>
    </xf>
    <xf numFmtId="0" fontId="24" fillId="0" borderId="0" xfId="0" applyFont="1" applyAlignment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3" fillId="0" borderId="0" xfId="0" quotePrefix="1" applyFont="1" applyAlignment="1">
      <alignment horizontal="center"/>
    </xf>
    <xf numFmtId="0" fontId="41" fillId="0" borderId="0" xfId="0" quotePrefix="1" applyFont="1" applyAlignment="1">
      <alignment horizontal="center"/>
    </xf>
    <xf numFmtId="0" fontId="23" fillId="27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12" xfId="0" applyFont="1" applyBorder="1"/>
    <xf numFmtId="0" fontId="23" fillId="0" borderId="13" xfId="0" applyFont="1" applyBorder="1"/>
    <xf numFmtId="0" fontId="23" fillId="0" borderId="14" xfId="0" applyFont="1" applyBorder="1"/>
    <xf numFmtId="0" fontId="23" fillId="0" borderId="15" xfId="0" applyFont="1" applyBorder="1"/>
    <xf numFmtId="0" fontId="23" fillId="0" borderId="16" xfId="0" applyFont="1" applyBorder="1"/>
    <xf numFmtId="0" fontId="23" fillId="0" borderId="10" xfId="0" applyFont="1" applyBorder="1"/>
    <xf numFmtId="0" fontId="23" fillId="0" borderId="17" xfId="0" applyFont="1" applyBorder="1"/>
    <xf numFmtId="0" fontId="23" fillId="0" borderId="18" xfId="0" applyFont="1" applyBorder="1"/>
    <xf numFmtId="0" fontId="23" fillId="0" borderId="19" xfId="0" applyFont="1" applyBorder="1"/>
    <xf numFmtId="0" fontId="23" fillId="0" borderId="20" xfId="0" applyFont="1" applyBorder="1"/>
    <xf numFmtId="0" fontId="23" fillId="0" borderId="21" xfId="0" applyFont="1" applyBorder="1"/>
    <xf numFmtId="0" fontId="23" fillId="0" borderId="22" xfId="0" applyFont="1" applyBorder="1"/>
    <xf numFmtId="0" fontId="42" fillId="0" borderId="0" xfId="0" applyFont="1"/>
    <xf numFmtId="0" fontId="1" fillId="0" borderId="0" xfId="43"/>
    <xf numFmtId="0" fontId="31" fillId="0" borderId="0" xfId="43" applyFont="1" applyAlignment="1"/>
    <xf numFmtId="0" fontId="31" fillId="0" borderId="0" xfId="43" applyFont="1" applyAlignment="1">
      <alignment horizontal="left"/>
    </xf>
    <xf numFmtId="0" fontId="28" fillId="0" borderId="0" xfId="43" applyFont="1" applyAlignment="1"/>
    <xf numFmtId="0" fontId="1" fillId="0" borderId="0" xfId="43" applyAlignment="1">
      <alignment horizontal="center"/>
    </xf>
    <xf numFmtId="0" fontId="32" fillId="0" borderId="0" xfId="43" applyFont="1"/>
    <xf numFmtId="0" fontId="29" fillId="0" borderId="0" xfId="43" applyFont="1" applyAlignment="1">
      <alignment horizontal="center"/>
    </xf>
    <xf numFmtId="49" fontId="43" fillId="0" borderId="0" xfId="43" applyNumberFormat="1" applyFont="1" applyAlignment="1">
      <alignment horizontal="center" vertical="center"/>
    </xf>
    <xf numFmtId="0" fontId="44" fillId="0" borderId="23" xfId="43" applyFont="1" applyBorder="1" applyAlignment="1">
      <alignment horizontal="right" vertical="top" wrapText="1"/>
    </xf>
    <xf numFmtId="0" fontId="44" fillId="0" borderId="24" xfId="43" applyFont="1" applyBorder="1" applyAlignment="1">
      <alignment vertical="top" wrapText="1"/>
    </xf>
    <xf numFmtId="0" fontId="44" fillId="0" borderId="16" xfId="43" applyFont="1" applyBorder="1" applyAlignment="1">
      <alignment horizontal="right" vertical="top" wrapText="1"/>
    </xf>
    <xf numFmtId="0" fontId="44" fillId="0" borderId="10" xfId="43" applyFont="1" applyBorder="1" applyAlignment="1">
      <alignment vertical="top" wrapText="1"/>
    </xf>
    <xf numFmtId="0" fontId="44" fillId="0" borderId="10" xfId="43" applyFont="1" applyBorder="1" applyAlignment="1">
      <alignment horizontal="right" vertical="top" wrapText="1"/>
    </xf>
    <xf numFmtId="0" fontId="44" fillId="0" borderId="19" xfId="43" applyFont="1" applyBorder="1" applyAlignment="1">
      <alignment horizontal="right" vertical="top" wrapText="1"/>
    </xf>
    <xf numFmtId="0" fontId="44" fillId="0" borderId="20" xfId="43" applyFont="1" applyBorder="1" applyAlignment="1">
      <alignment horizontal="right" vertical="top" wrapText="1"/>
    </xf>
    <xf numFmtId="0" fontId="44" fillId="0" borderId="0" xfId="43" applyFont="1" applyAlignment="1">
      <alignment horizontal="right" vertical="top" wrapText="1"/>
    </xf>
    <xf numFmtId="0" fontId="1" fillId="0" borderId="0" xfId="43" applyBorder="1"/>
    <xf numFmtId="0" fontId="30" fillId="0" borderId="0" xfId="43" applyFont="1"/>
    <xf numFmtId="0" fontId="34" fillId="0" borderId="0" xfId="43" applyFont="1" applyAlignment="1">
      <alignment vertical="center"/>
    </xf>
    <xf numFmtId="0" fontId="45" fillId="28" borderId="25" xfId="43" applyFont="1" applyFill="1" applyBorder="1" applyAlignment="1">
      <alignment horizontal="center" vertical="center" wrapText="1"/>
    </xf>
    <xf numFmtId="0" fontId="45" fillId="28" borderId="26" xfId="43" applyFont="1" applyFill="1" applyBorder="1" applyAlignment="1">
      <alignment horizontal="center" vertical="center" wrapText="1"/>
    </xf>
    <xf numFmtId="0" fontId="33" fillId="0" borderId="0" xfId="43" applyFont="1" applyAlignment="1">
      <alignment vertical="top" wrapText="1"/>
    </xf>
    <xf numFmtId="0" fontId="31" fillId="0" borderId="0" xfId="43" applyFont="1" applyFill="1" applyAlignment="1">
      <alignment horizontal="right"/>
    </xf>
    <xf numFmtId="0" fontId="44" fillId="0" borderId="12" xfId="43" applyFont="1" applyBorder="1" applyAlignment="1">
      <alignment horizontal="right" vertical="top" wrapText="1"/>
    </xf>
    <xf numFmtId="0" fontId="44" fillId="0" borderId="13" xfId="43" applyFont="1" applyBorder="1" applyAlignment="1">
      <alignment vertical="top" wrapText="1"/>
    </xf>
    <xf numFmtId="44" fontId="31" fillId="0" borderId="0" xfId="43" applyNumberFormat="1" applyFont="1" applyFill="1" applyAlignment="1">
      <alignment horizontal="right"/>
    </xf>
    <xf numFmtId="44" fontId="31" fillId="0" borderId="0" xfId="43" applyNumberFormat="1" applyFont="1" applyAlignment="1">
      <alignment horizontal="left"/>
    </xf>
    <xf numFmtId="44" fontId="31" fillId="0" borderId="0" xfId="43" applyNumberFormat="1" applyFont="1" applyAlignment="1"/>
    <xf numFmtId="44" fontId="29" fillId="0" borderId="0" xfId="43" applyNumberFormat="1" applyFont="1" applyAlignment="1">
      <alignment horizontal="center"/>
    </xf>
    <xf numFmtId="44" fontId="43" fillId="0" borderId="0" xfId="43" applyNumberFormat="1" applyFont="1" applyAlignment="1">
      <alignment horizontal="center" vertical="center"/>
    </xf>
    <xf numFmtId="44" fontId="45" fillId="28" borderId="26" xfId="43" applyNumberFormat="1" applyFont="1" applyFill="1" applyBorder="1" applyAlignment="1">
      <alignment horizontal="center" vertical="center" wrapText="1"/>
    </xf>
    <xf numFmtId="44" fontId="44" fillId="0" borderId="13" xfId="43" applyNumberFormat="1" applyFont="1" applyBorder="1" applyAlignment="1">
      <alignment vertical="top" wrapText="1"/>
    </xf>
    <xf numFmtId="44" fontId="44" fillId="0" borderId="20" xfId="43" applyNumberFormat="1" applyFont="1" applyBorder="1" applyAlignment="1">
      <alignment horizontal="right" vertical="top" wrapText="1"/>
    </xf>
    <xf numFmtId="44" fontId="1" fillId="0" borderId="0" xfId="43" applyNumberFormat="1"/>
    <xf numFmtId="44" fontId="1" fillId="0" borderId="0" xfId="43" applyNumberFormat="1" applyAlignment="1">
      <alignment horizontal="center"/>
    </xf>
    <xf numFmtId="44" fontId="33" fillId="0" borderId="0" xfId="43" applyNumberFormat="1" applyFont="1" applyAlignment="1">
      <alignment vertical="top" wrapText="1"/>
    </xf>
    <xf numFmtId="44" fontId="34" fillId="0" borderId="0" xfId="43" applyNumberFormat="1" applyFont="1" applyAlignment="1">
      <alignment vertical="center"/>
    </xf>
    <xf numFmtId="0" fontId="44" fillId="0" borderId="12" xfId="43" applyFont="1" applyBorder="1" applyAlignment="1">
      <alignment horizontal="center" vertical="center" wrapText="1"/>
    </xf>
    <xf numFmtId="0" fontId="44" fillId="0" borderId="13" xfId="43" applyFont="1" applyBorder="1" applyAlignment="1">
      <alignment vertical="center" wrapText="1"/>
    </xf>
    <xf numFmtId="49" fontId="44" fillId="0" borderId="12" xfId="43" applyNumberFormat="1" applyFont="1" applyBorder="1" applyAlignment="1">
      <alignment horizontal="center" vertical="center" wrapText="1"/>
    </xf>
    <xf numFmtId="0" fontId="44" fillId="0" borderId="12" xfId="43" applyFont="1" applyBorder="1" applyAlignment="1">
      <alignment horizontal="center" vertical="top" wrapText="1"/>
    </xf>
    <xf numFmtId="44" fontId="44" fillId="0" borderId="13" xfId="43" applyNumberFormat="1" applyFont="1" applyBorder="1" applyAlignment="1">
      <alignment horizontal="right" vertical="top" wrapText="1"/>
    </xf>
    <xf numFmtId="44" fontId="54" fillId="0" borderId="13" xfId="43" applyNumberFormat="1" applyFont="1" applyBorder="1" applyAlignment="1">
      <alignment horizontal="right" vertical="top" wrapText="1"/>
    </xf>
    <xf numFmtId="0" fontId="52" fillId="0" borderId="13" xfId="43" applyFont="1" applyBorder="1" applyAlignment="1">
      <alignment vertical="top" wrapText="1"/>
    </xf>
    <xf numFmtId="0" fontId="44" fillId="0" borderId="13" xfId="43" applyFont="1" applyBorder="1" applyAlignment="1">
      <alignment wrapText="1"/>
    </xf>
    <xf numFmtId="0" fontId="44" fillId="0" borderId="0" xfId="43" applyFont="1" applyBorder="1" applyAlignment="1">
      <alignment horizontal="right" vertical="top" wrapText="1"/>
    </xf>
    <xf numFmtId="44" fontId="44" fillId="0" borderId="0" xfId="43" applyNumberFormat="1" applyFont="1" applyBorder="1" applyAlignment="1">
      <alignment horizontal="right" vertical="top" wrapText="1"/>
    </xf>
    <xf numFmtId="0" fontId="44" fillId="0" borderId="12" xfId="43" applyFont="1" applyBorder="1" applyAlignment="1">
      <alignment horizontal="center" wrapText="1"/>
    </xf>
    <xf numFmtId="44" fontId="44" fillId="0" borderId="13" xfId="43" applyNumberFormat="1" applyFont="1" applyBorder="1" applyAlignment="1">
      <alignment wrapText="1"/>
    </xf>
    <xf numFmtId="0" fontId="46" fillId="29" borderId="40" xfId="46" applyFont="1" applyFill="1" applyBorder="1" applyAlignment="1" applyProtection="1">
      <alignment horizontal="center" vertical="center"/>
      <protection hidden="1"/>
    </xf>
    <xf numFmtId="0" fontId="46" fillId="29" borderId="39" xfId="46" applyFont="1" applyFill="1" applyBorder="1" applyAlignment="1" applyProtection="1">
      <alignment horizontal="center" vertical="center"/>
      <protection hidden="1"/>
    </xf>
    <xf numFmtId="0" fontId="47" fillId="29" borderId="40" xfId="46" applyFont="1" applyFill="1" applyBorder="1" applyAlignment="1" applyProtection="1">
      <alignment horizontal="center" vertical="center"/>
      <protection hidden="1"/>
    </xf>
    <xf numFmtId="0" fontId="47" fillId="29" borderId="39" xfId="46" applyFont="1" applyFill="1" applyBorder="1" applyAlignment="1" applyProtection="1">
      <alignment horizontal="center" vertical="center"/>
      <protection hidden="1"/>
    </xf>
    <xf numFmtId="0" fontId="48" fillId="25" borderId="0" xfId="46" applyFont="1" applyFill="1" applyAlignment="1" applyProtection="1">
      <alignment horizontal="center"/>
      <protection hidden="1"/>
    </xf>
    <xf numFmtId="0" fontId="47" fillId="29" borderId="10" xfId="46" applyFont="1" applyFill="1" applyBorder="1" applyAlignment="1" applyProtection="1">
      <alignment horizontal="center" vertical="center"/>
      <protection hidden="1"/>
    </xf>
    <xf numFmtId="0" fontId="49" fillId="26" borderId="0" xfId="46" applyFont="1" applyFill="1" applyAlignment="1" applyProtection="1">
      <alignment horizontal="center" wrapText="1"/>
      <protection hidden="1"/>
    </xf>
    <xf numFmtId="0" fontId="49" fillId="26" borderId="27" xfId="46" applyFont="1" applyFill="1" applyBorder="1" applyAlignment="1" applyProtection="1">
      <alignment horizontal="center" wrapText="1"/>
      <protection hidden="1"/>
    </xf>
    <xf numFmtId="0" fontId="21" fillId="25" borderId="28" xfId="21" applyFont="1" applyFill="1" applyBorder="1" applyAlignment="1" applyProtection="1">
      <alignment horizontal="left"/>
      <protection hidden="1"/>
    </xf>
    <xf numFmtId="0" fontId="21" fillId="25" borderId="29" xfId="21" applyFont="1" applyFill="1" applyBorder="1" applyAlignment="1" applyProtection="1">
      <alignment horizontal="left"/>
      <protection hidden="1"/>
    </xf>
    <xf numFmtId="0" fontId="21" fillId="25" borderId="30" xfId="21" applyFont="1" applyFill="1" applyBorder="1" applyAlignment="1" applyProtection="1">
      <alignment horizontal="left"/>
      <protection hidden="1"/>
    </xf>
    <xf numFmtId="0" fontId="21" fillId="0" borderId="28" xfId="21" applyFont="1" applyFill="1" applyBorder="1" applyAlignment="1" applyProtection="1">
      <alignment horizontal="center"/>
      <protection locked="0" hidden="1"/>
    </xf>
    <xf numFmtId="0" fontId="21" fillId="0" borderId="29" xfId="21" applyFont="1" applyFill="1" applyBorder="1" applyAlignment="1" applyProtection="1">
      <alignment horizontal="center"/>
      <protection locked="0" hidden="1"/>
    </xf>
    <xf numFmtId="0" fontId="21" fillId="0" borderId="30" xfId="21" applyFont="1" applyFill="1" applyBorder="1" applyAlignment="1" applyProtection="1">
      <alignment horizontal="center"/>
      <protection locked="0" hidden="1"/>
    </xf>
    <xf numFmtId="0" fontId="1" fillId="25" borderId="0" xfId="46" applyFill="1" applyAlignment="1" applyProtection="1">
      <alignment horizontal="center" vertical="center"/>
      <protection hidden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7" fillId="27" borderId="31" xfId="0" applyFont="1" applyFill="1" applyBorder="1" applyAlignment="1">
      <alignment horizontal="center" vertical="center" wrapText="1"/>
    </xf>
    <xf numFmtId="0" fontId="23" fillId="27" borderId="32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41" fillId="0" borderId="0" xfId="0" quotePrefix="1" applyFont="1" applyBorder="1" applyAlignment="1">
      <alignment horizontal="center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44" fontId="44" fillId="0" borderId="9" xfId="43" applyNumberFormat="1" applyFont="1" applyBorder="1" applyAlignment="1">
      <alignment horizontal="center" vertical="top" wrapText="1"/>
    </xf>
    <xf numFmtId="44" fontId="44" fillId="0" borderId="41" xfId="43" applyNumberFormat="1" applyFont="1" applyBorder="1" applyAlignment="1">
      <alignment horizontal="center" vertical="top" wrapText="1"/>
    </xf>
    <xf numFmtId="44" fontId="44" fillId="0" borderId="13" xfId="43" applyNumberFormat="1" applyFont="1" applyBorder="1" applyAlignment="1">
      <alignment horizontal="center" vertical="top" wrapText="1"/>
    </xf>
  </cellXfs>
  <cellStyles count="6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Hipervínculo" xfId="32" builtinId="8"/>
    <cellStyle name="Hipervínculo 2" xfId="33"/>
    <cellStyle name="Incorrecto" xfId="34" builtinId="27" customBuiltin="1"/>
    <cellStyle name="Millares 2" xfId="35"/>
    <cellStyle name="Millares 2 2" xfId="36"/>
    <cellStyle name="Millares 2 2 2" xfId="37"/>
    <cellStyle name="Millares 3" xfId="38"/>
    <cellStyle name="Millares 4" xfId="39"/>
    <cellStyle name="Moneda 2" xfId="40"/>
    <cellStyle name="Moneda 2 2" xfId="41"/>
    <cellStyle name="Neutral" xfId="42" builtinId="28" customBuiltin="1"/>
    <cellStyle name="Normal" xfId="0" builtinId="0"/>
    <cellStyle name="Normal 15" xfId="43"/>
    <cellStyle name="Normal 2" xfId="44"/>
    <cellStyle name="Normal 2 10" xfId="68"/>
    <cellStyle name="Normal 2 13" xfId="45"/>
    <cellStyle name="Normal 2 2" xfId="46"/>
    <cellStyle name="Normal 2 3" xfId="47"/>
    <cellStyle name="Normal 3" xfId="48"/>
    <cellStyle name="Normal 4" xfId="49"/>
    <cellStyle name="Normal 5" xfId="50"/>
    <cellStyle name="Normal 6" xfId="51"/>
    <cellStyle name="Normal 6 2" xfId="52"/>
    <cellStyle name="Normal 6 3" xfId="53"/>
    <cellStyle name="Normal 6 6" xfId="54"/>
    <cellStyle name="Normal 7" xfId="55"/>
    <cellStyle name="Normal 7 3" xfId="56"/>
    <cellStyle name="Normal 8" xfId="57"/>
    <cellStyle name="Normal 9" xfId="58"/>
    <cellStyle name="Notas" xfId="59" builtinId="10" customBuiltin="1"/>
    <cellStyle name="Porcentual 2" xfId="60"/>
    <cellStyle name="Salida" xfId="61" builtinId="21" customBuiltin="1"/>
    <cellStyle name="Texto de advertencia" xfId="62" builtinId="11" customBuiltin="1"/>
    <cellStyle name="Texto explicativo" xfId="63" builtinId="53" customBuiltin="1"/>
    <cellStyle name="Título" xfId="64" builtinId="15" customBuiltin="1"/>
    <cellStyle name="Título 2" xfId="65" builtinId="17" customBuiltin="1"/>
    <cellStyle name="Título 3" xfId="66" builtinId="18" customBuiltin="1"/>
    <cellStyle name="Total" xfId="6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407669</xdr:colOff>
      <xdr:row>19</xdr:row>
      <xdr:rowOff>28575</xdr:rowOff>
    </xdr:from>
    <xdr:to>
      <xdr:col>9</xdr:col>
      <xdr:colOff>400068</xdr:colOff>
      <xdr:row>30</xdr:row>
      <xdr:rowOff>57150</xdr:rowOff>
    </xdr:to>
    <xdr:sp macro="" textlink="">
      <xdr:nvSpPr>
        <xdr:cNvPr id="12" name="11 CuadroTexto"/>
        <xdr:cNvSpPr txBox="1"/>
      </xdr:nvSpPr>
      <xdr:spPr>
        <a:xfrm>
          <a:off x="419099" y="3505200"/>
          <a:ext cx="8629651" cy="1809750"/>
        </a:xfrm>
        <a:prstGeom prst="rect">
          <a:avLst/>
        </a:prstGeom>
        <a:solidFill>
          <a:srgbClr val="E7FFF9"/>
        </a:solidFill>
        <a:ln w="9525" cmpd="sng">
          <a:solidFill>
            <a:schemeClr val="tx2">
              <a:lumMod val="40000"/>
              <a:lumOff val="6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Instructivo d</a:t>
          </a:r>
          <a:r>
            <a:rPr lang="es-ES" sz="900" b="1" i="1">
              <a:solidFill>
                <a:schemeClr val="dk1"/>
              </a:solidFill>
              <a:latin typeface="+mn-lt"/>
              <a:ea typeface="+mn-ea"/>
              <a:cs typeface="+mn-cs"/>
            </a:rPr>
            <a:t>e llenado:</a:t>
          </a:r>
          <a:r>
            <a:rPr lang="es-ES" sz="9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</a:t>
          </a:r>
          <a:r>
            <a:rPr lang="es-ES" sz="900" b="0" i="1">
              <a:solidFill>
                <a:schemeClr val="dk1"/>
              </a:solidFill>
              <a:latin typeface="+mn-lt"/>
              <a:ea typeface="+mn-ea"/>
              <a:cs typeface="+mn-cs"/>
            </a:rPr>
            <a:t>Número de control asignado al empleado,</a:t>
          </a:r>
          <a:r>
            <a:rPr lang="es-ES" sz="9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individual e irrepetible para su identificación en la nómina.</a:t>
          </a:r>
          <a:endParaRPr lang="es-ES" sz="900" b="0" i="1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Nombre completo, tal y como se presente</a:t>
          </a:r>
          <a:r>
            <a:rPr lang="es-ES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en las nóminas de pago.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 - Cargo</a:t>
          </a:r>
          <a:r>
            <a:rPr lang="es-ES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o opuesto del trabajador.</a:t>
          </a:r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4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</a:t>
          </a:r>
          <a:r>
            <a:rPr lang="es-ES" sz="9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Señalar la plaza del empleado. (Confianza, Base, Eventual o Supernumerario).</a:t>
          </a:r>
          <a:endParaRPr lang="es-E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5.-  </a:t>
          </a:r>
          <a:r>
            <a:rPr lang="es-MX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Área administrativa, Dirección  o departamento en el cual desempeña sus funciones.</a:t>
          </a:r>
          <a:r>
            <a:rPr lang="es-MX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900"/>
            <a:t> </a:t>
          </a:r>
          <a:endParaRPr lang="es-ES" sz="900" b="0" i="1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6. - Registro Federal de Contribuyentes del empleado, evitando utilizar guiones "-". </a:t>
          </a:r>
        </a:p>
        <a:p>
          <a:r>
            <a:rPr lang="es-ES" sz="900"/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7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CURP del empleado, evitar la utilización de guiones .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8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Fecha del cambio realizado en la plantilla de personal.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9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</a:t>
          </a:r>
          <a:r>
            <a:rPr lang="es-ES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Importe del salario en caso de alta, o modificación.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endParaRPr lang="es-ES" sz="900" i="1"/>
        </a:p>
      </xdr:txBody>
    </xdr:sp>
    <xdr:clientData/>
  </xdr:twoCellAnchor>
  <xdr:twoCellAnchor>
    <xdr:from>
      <xdr:col>5</xdr:col>
      <xdr:colOff>623731</xdr:colOff>
      <xdr:row>14</xdr:row>
      <xdr:rowOff>108586</xdr:rowOff>
    </xdr:from>
    <xdr:to>
      <xdr:col>7</xdr:col>
      <xdr:colOff>926266</xdr:colOff>
      <xdr:row>19</xdr:row>
      <xdr:rowOff>22731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4847116" y="3009901"/>
          <a:ext cx="2032168" cy="7178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2</xdr:col>
      <xdr:colOff>1544511</xdr:colOff>
      <xdr:row>14</xdr:row>
      <xdr:rowOff>108585</xdr:rowOff>
    </xdr:from>
    <xdr:to>
      <xdr:col>5</xdr:col>
      <xdr:colOff>360728</xdr:colOff>
      <xdr:row>18</xdr:row>
      <xdr:rowOff>136974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2775141" y="3009900"/>
          <a:ext cx="1795655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Revisado por</a:t>
          </a:r>
        </a:p>
      </xdr:txBody>
    </xdr:sp>
    <xdr:clientData/>
  </xdr:twoCellAnchor>
  <xdr:twoCellAnchor>
    <xdr:from>
      <xdr:col>1</xdr:col>
      <xdr:colOff>47625</xdr:colOff>
      <xdr:row>14</xdr:row>
      <xdr:rowOff>108585</xdr:rowOff>
    </xdr:from>
    <xdr:to>
      <xdr:col>2</xdr:col>
      <xdr:colOff>1067605</xdr:colOff>
      <xdr:row>18</xdr:row>
      <xdr:rowOff>136974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504825" y="3009900"/>
          <a:ext cx="1795655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	</a:t>
          </a:r>
        </a:p>
      </xdr:txBody>
    </xdr:sp>
    <xdr:clientData/>
  </xdr:twoCellAnchor>
  <xdr:twoCellAnchor>
    <xdr:from>
      <xdr:col>9</xdr:col>
      <xdr:colOff>0</xdr:colOff>
      <xdr:row>14</xdr:row>
      <xdr:rowOff>99060</xdr:rowOff>
    </xdr:from>
    <xdr:to>
      <xdr:col>11</xdr:col>
      <xdr:colOff>20159</xdr:colOff>
      <xdr:row>19</xdr:row>
      <xdr:rowOff>3882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7038975" y="2990850"/>
          <a:ext cx="1734659" cy="7281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9525</xdr:rowOff>
    </xdr:from>
    <xdr:to>
      <xdr:col>0</xdr:col>
      <xdr:colOff>1609725</xdr:colOff>
      <xdr:row>41</xdr:row>
      <xdr:rowOff>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0" y="8534400"/>
          <a:ext cx="16097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 u="sng">
              <a:effectLst/>
              <a:latin typeface="+mn-lt"/>
              <a:ea typeface="+mn-ea"/>
              <a:cs typeface="+mn-cs"/>
            </a:rPr>
            <a:t>Téc</a:t>
          </a:r>
          <a:r>
            <a:rPr lang="es-MX" sz="1000" b="1" i="0" u="sng" baseline="0">
              <a:effectLst/>
              <a:latin typeface="+mn-lt"/>
              <a:ea typeface="+mn-ea"/>
              <a:cs typeface="+mn-cs"/>
            </a:rPr>
            <a:t>. Isaac Vargas Tapia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3</xdr:col>
      <xdr:colOff>0</xdr:colOff>
      <xdr:row>79</xdr:row>
      <xdr:rowOff>123825</xdr:rowOff>
    </xdr:to>
    <xdr:sp macro="" textlink="">
      <xdr:nvSpPr>
        <xdr:cNvPr id="5" name="6 CuadroTexto"/>
        <xdr:cNvSpPr txBox="1"/>
      </xdr:nvSpPr>
      <xdr:spPr>
        <a:xfrm>
          <a:off x="0" y="23507700"/>
          <a:ext cx="7553325" cy="771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  <a:effectLst>
          <a:outerShdw sx="1000" sy="1000" algn="t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.-</a:t>
          </a:r>
          <a:r>
            <a:rPr lang="es-ES" sz="900" b="0" i="0" baseline="0">
              <a:latin typeface="Arial" panose="020B0604020202020204" pitchFamily="34" charset="0"/>
              <a:cs typeface="Arial" panose="020B0604020202020204" pitchFamily="34" charset="0"/>
            </a:rPr>
            <a:t> La fecha corresponde al cierre del periodo.</a:t>
          </a:r>
          <a:endParaRPr lang="es-ES" sz="900" b="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Número de identificación o inventario de acuerdo a la normatividad aplicable en el ente público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Descripción general del bien.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Importe registrado en la contabilidad</a:t>
          </a:r>
          <a:r>
            <a:rPr lang="es-ES" sz="900" i="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lnSpc>
              <a:spcPts val="1000"/>
            </a:lnSpc>
          </a:pPr>
          <a:endParaRPr lang="es-ES" sz="1000" b="0" i="1" u="none" strike="noStrike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295275</xdr:colOff>
      <xdr:row>40</xdr:row>
      <xdr:rowOff>47625</xdr:rowOff>
    </xdr:from>
    <xdr:to>
      <xdr:col>2</xdr:col>
      <xdr:colOff>1905000</xdr:colOff>
      <xdr:row>72</xdr:row>
      <xdr:rowOff>147104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6200775" y="7153275"/>
          <a:ext cx="1609725" cy="3176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u="sng">
              <a:effectLst/>
              <a:latin typeface="+mn-lt"/>
              <a:ea typeface="+mn-ea"/>
              <a:cs typeface="+mn-cs"/>
            </a:rPr>
            <a:t>C.P. Gregorio Radilla Salas 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809625</xdr:colOff>
      <xdr:row>40</xdr:row>
      <xdr:rowOff>38100</xdr:rowOff>
    </xdr:from>
    <xdr:to>
      <xdr:col>2</xdr:col>
      <xdr:colOff>200025</xdr:colOff>
      <xdr:row>40</xdr:row>
      <xdr:rowOff>792102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3333750" y="8562975"/>
          <a:ext cx="2609850" cy="754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rtl="1"/>
          <a:r>
            <a:rPr lang="es-MX" sz="1100" b="1" i="0" u="sng">
              <a:effectLst/>
              <a:latin typeface="+mn-lt"/>
              <a:ea typeface="+mn-ea"/>
              <a:cs typeface="+mn-cs"/>
            </a:rPr>
            <a:t>Mtro. Francisco Javier elísea de la cruz </a:t>
          </a:r>
          <a:endParaRPr lang="es-MX" sz="900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1476375</xdr:colOff>
      <xdr:row>40</xdr:row>
      <xdr:rowOff>47625</xdr:rowOff>
    </xdr:from>
    <xdr:to>
      <xdr:col>1</xdr:col>
      <xdr:colOff>939307</xdr:colOff>
      <xdr:row>41</xdr:row>
      <xdr:rowOff>161839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476375" y="8572500"/>
          <a:ext cx="1987057" cy="914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indent="0"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"/>
              <a:ea typeface="+mn-ea"/>
              <a:cs typeface="Arial"/>
            </a:rPr>
            <a:t>L.C Hilario Solís Cervantes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102</xdr:row>
      <xdr:rowOff>9525</xdr:rowOff>
    </xdr:from>
    <xdr:to>
      <xdr:col>0</xdr:col>
      <xdr:colOff>1628775</xdr:colOff>
      <xdr:row>106</xdr:row>
      <xdr:rowOff>37914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19050" y="27555825"/>
          <a:ext cx="1609725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 u="sng">
              <a:effectLst/>
              <a:latin typeface="+mn-lt"/>
              <a:ea typeface="+mn-ea"/>
              <a:cs typeface="+mn-cs"/>
            </a:rPr>
            <a:t>Téc</a:t>
          </a:r>
          <a:r>
            <a:rPr lang="es-MX" sz="1000" b="1" i="0" u="sng" baseline="0">
              <a:effectLst/>
              <a:latin typeface="+mn-lt"/>
              <a:ea typeface="+mn-ea"/>
              <a:cs typeface="+mn-cs"/>
            </a:rPr>
            <a:t>. Isaac Vargas Tapia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0</xdr:col>
      <xdr:colOff>0</xdr:colOff>
      <xdr:row>140</xdr:row>
      <xdr:rowOff>0</xdr:rowOff>
    </xdr:from>
    <xdr:to>
      <xdr:col>3</xdr:col>
      <xdr:colOff>0</xdr:colOff>
      <xdr:row>144</xdr:row>
      <xdr:rowOff>123825</xdr:rowOff>
    </xdr:to>
    <xdr:sp macro="" textlink="">
      <xdr:nvSpPr>
        <xdr:cNvPr id="5" name="6 CuadroTexto"/>
        <xdr:cNvSpPr txBox="1"/>
      </xdr:nvSpPr>
      <xdr:spPr>
        <a:xfrm>
          <a:off x="0" y="23507700"/>
          <a:ext cx="7553325" cy="771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  <a:effectLst>
          <a:outerShdw sx="1000" sy="1000" algn="t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.-</a:t>
          </a:r>
          <a:r>
            <a:rPr lang="es-ES" sz="900" b="0" i="0" baseline="0">
              <a:latin typeface="Arial" panose="020B0604020202020204" pitchFamily="34" charset="0"/>
              <a:cs typeface="Arial" panose="020B0604020202020204" pitchFamily="34" charset="0"/>
            </a:rPr>
            <a:t> La fecha corresponde al cierre del periodo.</a:t>
          </a:r>
          <a:endParaRPr lang="es-ES" sz="900" b="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Número de identificación o inventario de acuerdo a la normatividad aplicable en el ente público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Descripción general del bien.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Importe registrado en la contabilidad</a:t>
          </a:r>
          <a:r>
            <a:rPr lang="es-ES" sz="900" i="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lnSpc>
              <a:spcPts val="1000"/>
            </a:lnSpc>
          </a:pPr>
          <a:endParaRPr lang="es-ES" sz="1000" b="0" i="1" u="none" strike="noStrike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727710</xdr:colOff>
      <xdr:row>101</xdr:row>
      <xdr:rowOff>133350</xdr:rowOff>
    </xdr:from>
    <xdr:to>
      <xdr:col>3</xdr:col>
      <xdr:colOff>95250</xdr:colOff>
      <xdr:row>131</xdr:row>
      <xdr:rowOff>28575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5956935" y="27517725"/>
          <a:ext cx="1691640" cy="475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u="sng">
              <a:effectLst/>
              <a:latin typeface="+mn-lt"/>
              <a:ea typeface="+mn-ea"/>
              <a:cs typeface="+mn-cs"/>
            </a:rPr>
            <a:t>C.P. Gregorio Radilla Salas 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1171575</xdr:colOff>
      <xdr:row>101</xdr:row>
      <xdr:rowOff>133350</xdr:rowOff>
    </xdr:from>
    <xdr:to>
      <xdr:col>2</xdr:col>
      <xdr:colOff>628650</xdr:colOff>
      <xdr:row>106</xdr:row>
      <xdr:rowOff>77727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3248025" y="27517725"/>
          <a:ext cx="2609850" cy="754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rtl="1"/>
          <a:r>
            <a:rPr lang="es-MX" sz="1100" b="1" i="0" u="sng">
              <a:effectLst/>
              <a:latin typeface="+mn-lt"/>
              <a:ea typeface="+mn-ea"/>
              <a:cs typeface="+mn-cs"/>
            </a:rPr>
            <a:t>Mtro. Francisco Javier elísea de la cruz </a:t>
          </a:r>
          <a:endParaRPr lang="es-MX" sz="900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1552575</xdr:colOff>
      <xdr:row>102</xdr:row>
      <xdr:rowOff>9525</xdr:rowOff>
    </xdr:from>
    <xdr:to>
      <xdr:col>1</xdr:col>
      <xdr:colOff>1463182</xdr:colOff>
      <xdr:row>107</xdr:row>
      <xdr:rowOff>114214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552575" y="27555825"/>
          <a:ext cx="1987057" cy="914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indent="0"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"/>
              <a:ea typeface="+mn-ea"/>
              <a:cs typeface="Arial"/>
            </a:rPr>
            <a:t>L.C Hilario Solís Cervantes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512</xdr:row>
      <xdr:rowOff>57150</xdr:rowOff>
    </xdr:from>
    <xdr:to>
      <xdr:col>0</xdr:col>
      <xdr:colOff>1609725</xdr:colOff>
      <xdr:row>518</xdr:row>
      <xdr:rowOff>85539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0" y="137750550"/>
          <a:ext cx="1609725" cy="990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 u="sng">
              <a:effectLst/>
              <a:latin typeface="+mn-lt"/>
              <a:ea typeface="+mn-ea"/>
              <a:cs typeface="+mn-cs"/>
            </a:rPr>
            <a:t>Téc</a:t>
          </a:r>
          <a:r>
            <a:rPr lang="es-MX" sz="1000" b="1" i="0" u="sng" baseline="0">
              <a:effectLst/>
              <a:latin typeface="+mn-lt"/>
              <a:ea typeface="+mn-ea"/>
              <a:cs typeface="+mn-cs"/>
            </a:rPr>
            <a:t>. Isaac Vargas Tapia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0</xdr:col>
      <xdr:colOff>0</xdr:colOff>
      <xdr:row>529</xdr:row>
      <xdr:rowOff>0</xdr:rowOff>
    </xdr:from>
    <xdr:to>
      <xdr:col>3</xdr:col>
      <xdr:colOff>0</xdr:colOff>
      <xdr:row>533</xdr:row>
      <xdr:rowOff>123825</xdr:rowOff>
    </xdr:to>
    <xdr:sp macro="" textlink="">
      <xdr:nvSpPr>
        <xdr:cNvPr id="5" name="6 CuadroTexto"/>
        <xdr:cNvSpPr txBox="1"/>
      </xdr:nvSpPr>
      <xdr:spPr>
        <a:xfrm>
          <a:off x="0" y="23507700"/>
          <a:ext cx="7553325" cy="771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  <a:effectLst>
          <a:outerShdw sx="1000" sy="1000" algn="t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.-</a:t>
          </a:r>
          <a:r>
            <a:rPr lang="es-ES" sz="900" b="0" i="0" baseline="0">
              <a:latin typeface="Arial" panose="020B0604020202020204" pitchFamily="34" charset="0"/>
              <a:cs typeface="Arial" panose="020B0604020202020204" pitchFamily="34" charset="0"/>
            </a:rPr>
            <a:t> La fecha corresponde al cierre del periodo.</a:t>
          </a:r>
          <a:endParaRPr lang="es-ES" sz="900" b="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Número de identificación o inventario de acuerdo a la normatividad aplicable en el ente público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Descripción general del bien.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Importe registrado en la contabilidad</a:t>
          </a:r>
          <a:r>
            <a:rPr lang="es-ES" sz="900" i="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lnSpc>
              <a:spcPts val="1000"/>
            </a:lnSpc>
          </a:pPr>
          <a:endParaRPr lang="es-ES" sz="1000" b="0" i="1" u="none" strike="noStrike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171450</xdr:colOff>
      <xdr:row>512</xdr:row>
      <xdr:rowOff>85725</xdr:rowOff>
    </xdr:from>
    <xdr:to>
      <xdr:col>3</xdr:col>
      <xdr:colOff>19050</xdr:colOff>
      <xdr:row>518</xdr:row>
      <xdr:rowOff>114300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6286500" y="137779125"/>
          <a:ext cx="18573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u="sng">
              <a:effectLst/>
              <a:latin typeface="+mn-lt"/>
              <a:ea typeface="+mn-ea"/>
              <a:cs typeface="+mn-cs"/>
            </a:rPr>
            <a:t>C.P. Gregorio Radilla Salas 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1162050</xdr:colOff>
      <xdr:row>512</xdr:row>
      <xdr:rowOff>47625</xdr:rowOff>
    </xdr:from>
    <xdr:to>
      <xdr:col>1</xdr:col>
      <xdr:colOff>3771900</xdr:colOff>
      <xdr:row>518</xdr:row>
      <xdr:rowOff>153927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3238500" y="137741025"/>
          <a:ext cx="2609850" cy="1068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rtl="1"/>
          <a:r>
            <a:rPr lang="es-MX" sz="1100" b="1" i="0" u="sng">
              <a:effectLst/>
              <a:latin typeface="+mn-lt"/>
              <a:ea typeface="+mn-ea"/>
              <a:cs typeface="+mn-cs"/>
            </a:rPr>
            <a:t>Mtro. Francisco Javier elísea de la cruz </a:t>
          </a:r>
          <a:endParaRPr lang="es-MX" sz="900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1419225</xdr:colOff>
      <xdr:row>512</xdr:row>
      <xdr:rowOff>66675</xdr:rowOff>
    </xdr:from>
    <xdr:to>
      <xdr:col>1</xdr:col>
      <xdr:colOff>1329832</xdr:colOff>
      <xdr:row>520</xdr:row>
      <xdr:rowOff>9439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419225" y="137760075"/>
          <a:ext cx="1987057" cy="1228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indent="0"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"/>
              <a:ea typeface="+mn-ea"/>
              <a:cs typeface="Arial"/>
            </a:rPr>
            <a:t>L.C Hilario Solís Cervantes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65</xdr:row>
      <xdr:rowOff>133350</xdr:rowOff>
    </xdr:from>
    <xdr:to>
      <xdr:col>0</xdr:col>
      <xdr:colOff>1657350</xdr:colOff>
      <xdr:row>69</xdr:row>
      <xdr:rowOff>161739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47625" y="22507575"/>
          <a:ext cx="1609725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 u="sng">
              <a:effectLst/>
              <a:latin typeface="+mn-lt"/>
              <a:ea typeface="+mn-ea"/>
              <a:cs typeface="+mn-cs"/>
            </a:rPr>
            <a:t>Téc</a:t>
          </a:r>
          <a:r>
            <a:rPr lang="es-MX" sz="1000" b="1" i="0" u="sng" baseline="0">
              <a:effectLst/>
              <a:latin typeface="+mn-lt"/>
              <a:ea typeface="+mn-ea"/>
              <a:cs typeface="+mn-cs"/>
            </a:rPr>
            <a:t>. Isaac Vargas Tapia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3</xdr:col>
      <xdr:colOff>0</xdr:colOff>
      <xdr:row>95</xdr:row>
      <xdr:rowOff>123825</xdr:rowOff>
    </xdr:to>
    <xdr:sp macro="" textlink="">
      <xdr:nvSpPr>
        <xdr:cNvPr id="5" name="6 CuadroTexto"/>
        <xdr:cNvSpPr txBox="1"/>
      </xdr:nvSpPr>
      <xdr:spPr>
        <a:xfrm>
          <a:off x="0" y="23507700"/>
          <a:ext cx="7553325" cy="771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  <a:effectLst>
          <a:outerShdw sx="1000" sy="1000" algn="t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.-</a:t>
          </a:r>
          <a:r>
            <a:rPr lang="es-ES" sz="900" b="0" i="0" baseline="0">
              <a:latin typeface="Arial" panose="020B0604020202020204" pitchFamily="34" charset="0"/>
              <a:cs typeface="Arial" panose="020B0604020202020204" pitchFamily="34" charset="0"/>
            </a:rPr>
            <a:t> La fecha corresponde al cierre del periodo.</a:t>
          </a:r>
          <a:endParaRPr lang="es-ES" sz="900" b="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Número de identificación o inventario de acuerdo a la normatividad aplicable en el ente público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Descripción general del bien.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Importe registrado en la contabilidad</a:t>
          </a:r>
          <a:r>
            <a:rPr lang="es-ES" sz="900" i="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lnSpc>
              <a:spcPts val="1000"/>
            </a:lnSpc>
          </a:pPr>
          <a:endParaRPr lang="es-ES" sz="1000" b="0" i="1" u="none" strike="noStrike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756285</xdr:colOff>
      <xdr:row>65</xdr:row>
      <xdr:rowOff>95250</xdr:rowOff>
    </xdr:from>
    <xdr:to>
      <xdr:col>3</xdr:col>
      <xdr:colOff>123825</xdr:colOff>
      <xdr:row>70</xdr:row>
      <xdr:rowOff>32804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6223635" y="16221075"/>
          <a:ext cx="1691640" cy="747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u="sng">
              <a:effectLst/>
              <a:latin typeface="+mn-lt"/>
              <a:ea typeface="+mn-ea"/>
              <a:cs typeface="+mn-cs"/>
            </a:rPr>
            <a:t>C.P. Gregorio Radilla Salas 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1323975</xdr:colOff>
      <xdr:row>65</xdr:row>
      <xdr:rowOff>114300</xdr:rowOff>
    </xdr:from>
    <xdr:to>
      <xdr:col>2</xdr:col>
      <xdr:colOff>542925</xdr:colOff>
      <xdr:row>70</xdr:row>
      <xdr:rowOff>58677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3400425" y="16240125"/>
          <a:ext cx="2609850" cy="754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rtl="1"/>
          <a:r>
            <a:rPr lang="es-MX" sz="1100" b="1" i="0" u="sng">
              <a:effectLst/>
              <a:latin typeface="+mn-lt"/>
              <a:ea typeface="+mn-ea"/>
              <a:cs typeface="+mn-cs"/>
            </a:rPr>
            <a:t>Mtro. Francisco Javier elísea de la cruz </a:t>
          </a:r>
          <a:endParaRPr lang="es-MX" sz="900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1571625</xdr:colOff>
      <xdr:row>65</xdr:row>
      <xdr:rowOff>152400</xdr:rowOff>
    </xdr:from>
    <xdr:to>
      <xdr:col>1</xdr:col>
      <xdr:colOff>1482232</xdr:colOff>
      <xdr:row>71</xdr:row>
      <xdr:rowOff>95164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571625" y="16278225"/>
          <a:ext cx="1987057" cy="914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indent="0"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"/>
              <a:ea typeface="+mn-ea"/>
              <a:cs typeface="Arial"/>
            </a:rPr>
            <a:t>L.C Hilario Solís Cervantes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105</xdr:row>
      <xdr:rowOff>133350</xdr:rowOff>
    </xdr:from>
    <xdr:to>
      <xdr:col>0</xdr:col>
      <xdr:colOff>1657350</xdr:colOff>
      <xdr:row>109</xdr:row>
      <xdr:rowOff>161739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47625" y="22507575"/>
          <a:ext cx="1609725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 u="sng">
              <a:effectLst/>
              <a:latin typeface="+mn-lt"/>
              <a:ea typeface="+mn-ea"/>
              <a:cs typeface="+mn-cs"/>
            </a:rPr>
            <a:t>Téc</a:t>
          </a:r>
          <a:r>
            <a:rPr lang="es-MX" sz="1000" b="1" i="0" u="sng" baseline="0">
              <a:effectLst/>
              <a:latin typeface="+mn-lt"/>
              <a:ea typeface="+mn-ea"/>
              <a:cs typeface="+mn-cs"/>
            </a:rPr>
            <a:t>. Isaac Vargas Tapia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0</xdr:col>
      <xdr:colOff>0</xdr:colOff>
      <xdr:row>140</xdr:row>
      <xdr:rowOff>0</xdr:rowOff>
    </xdr:from>
    <xdr:to>
      <xdr:col>3</xdr:col>
      <xdr:colOff>0</xdr:colOff>
      <xdr:row>144</xdr:row>
      <xdr:rowOff>123825</xdr:rowOff>
    </xdr:to>
    <xdr:sp macro="" textlink="">
      <xdr:nvSpPr>
        <xdr:cNvPr id="5" name="6 CuadroTexto"/>
        <xdr:cNvSpPr txBox="1"/>
      </xdr:nvSpPr>
      <xdr:spPr>
        <a:xfrm>
          <a:off x="0" y="23507700"/>
          <a:ext cx="7553325" cy="771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  <a:effectLst>
          <a:outerShdw sx="1000" sy="1000" algn="t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.-</a:t>
          </a:r>
          <a:r>
            <a:rPr lang="es-ES" sz="900" b="0" i="0" baseline="0">
              <a:latin typeface="Arial" panose="020B0604020202020204" pitchFamily="34" charset="0"/>
              <a:cs typeface="Arial" panose="020B0604020202020204" pitchFamily="34" charset="0"/>
            </a:rPr>
            <a:t> La fecha corresponde al cierre del periodo.</a:t>
          </a:r>
          <a:endParaRPr lang="es-ES" sz="900" b="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Número de identificación o inventario de acuerdo a la normatividad aplicable en el ente público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Descripción general del bien.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Importe registrado en la contabilidad</a:t>
          </a:r>
          <a:r>
            <a:rPr lang="es-ES" sz="900" i="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lnSpc>
              <a:spcPts val="1000"/>
            </a:lnSpc>
          </a:pPr>
          <a:endParaRPr lang="es-ES" sz="1000" b="0" i="1" u="none" strike="noStrike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342900</xdr:colOff>
      <xdr:row>105</xdr:row>
      <xdr:rowOff>152400</xdr:rowOff>
    </xdr:from>
    <xdr:to>
      <xdr:col>3</xdr:col>
      <xdr:colOff>104775</xdr:colOff>
      <xdr:row>113</xdr:row>
      <xdr:rowOff>104775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5810250" y="34861500"/>
          <a:ext cx="180975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u="sng">
              <a:effectLst/>
              <a:latin typeface="+mn-lt"/>
              <a:ea typeface="+mn-ea"/>
              <a:cs typeface="+mn-cs"/>
            </a:rPr>
            <a:t>C.P. Gregorio Radilla Salas 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1085850</xdr:colOff>
      <xdr:row>105</xdr:row>
      <xdr:rowOff>133350</xdr:rowOff>
    </xdr:from>
    <xdr:to>
      <xdr:col>2</xdr:col>
      <xdr:colOff>304800</xdr:colOff>
      <xdr:row>110</xdr:row>
      <xdr:rowOff>77727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3162300" y="34842450"/>
          <a:ext cx="2609850" cy="754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rtl="1"/>
          <a:r>
            <a:rPr lang="es-MX" sz="1100" b="1" i="0" u="sng">
              <a:effectLst/>
              <a:latin typeface="+mn-lt"/>
              <a:ea typeface="+mn-ea"/>
              <a:cs typeface="+mn-cs"/>
            </a:rPr>
            <a:t>Mtro. Francisco Javier elísea de la cruz </a:t>
          </a:r>
          <a:endParaRPr lang="es-MX" sz="900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1476375</xdr:colOff>
      <xdr:row>106</xdr:row>
      <xdr:rowOff>0</xdr:rowOff>
    </xdr:from>
    <xdr:to>
      <xdr:col>1</xdr:col>
      <xdr:colOff>1386982</xdr:colOff>
      <xdr:row>111</xdr:row>
      <xdr:rowOff>104689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476375" y="34871025"/>
          <a:ext cx="1987057" cy="914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indent="0"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"/>
              <a:ea typeface="+mn-ea"/>
              <a:cs typeface="Arial"/>
            </a:rPr>
            <a:t>L.C Hilario Solís Cervantes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12</xdr:row>
      <xdr:rowOff>123825</xdr:rowOff>
    </xdr:from>
    <xdr:to>
      <xdr:col>2</xdr:col>
      <xdr:colOff>285750</xdr:colOff>
      <xdr:row>17</xdr:row>
      <xdr:rowOff>68202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3467100" y="2581275"/>
          <a:ext cx="2047875" cy="754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René Galeana Salgado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1759777</xdr:colOff>
      <xdr:row>12</xdr:row>
      <xdr:rowOff>112395</xdr:rowOff>
    </xdr:from>
    <xdr:to>
      <xdr:col>1</xdr:col>
      <xdr:colOff>1676400</xdr:colOff>
      <xdr:row>16</xdr:row>
      <xdr:rowOff>140784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759777" y="2569845"/>
          <a:ext cx="1993073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Mtro. Erick Soberanis Fernández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0</xdr:col>
      <xdr:colOff>47625</xdr:colOff>
      <xdr:row>12</xdr:row>
      <xdr:rowOff>95251</xdr:rowOff>
    </xdr:from>
    <xdr:to>
      <xdr:col>0</xdr:col>
      <xdr:colOff>1752599</xdr:colOff>
      <xdr:row>16</xdr:row>
      <xdr:rowOff>152215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47625" y="2552701"/>
          <a:ext cx="1704974" cy="7046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Téc. Isaack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Vargas Tapia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23</xdr:row>
      <xdr:rowOff>123825</xdr:rowOff>
    </xdr:to>
    <xdr:sp macro="" textlink="">
      <xdr:nvSpPr>
        <xdr:cNvPr id="5" name="6 CuadroTexto"/>
        <xdr:cNvSpPr txBox="1"/>
      </xdr:nvSpPr>
      <xdr:spPr>
        <a:xfrm>
          <a:off x="0" y="3590925"/>
          <a:ext cx="7553325" cy="771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  <a:effectLst>
          <a:outerShdw sx="1000" sy="1000" algn="t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.-</a:t>
          </a:r>
          <a:r>
            <a:rPr lang="es-ES" sz="900" b="0" i="0" baseline="0">
              <a:latin typeface="Arial" panose="020B0604020202020204" pitchFamily="34" charset="0"/>
              <a:cs typeface="Arial" panose="020B0604020202020204" pitchFamily="34" charset="0"/>
            </a:rPr>
            <a:t> La fecha corresponde al cierre del periodo.</a:t>
          </a:r>
          <a:endParaRPr lang="es-ES" sz="900" b="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Número de identificación o inventario de acuerdo a la normatividad aplicable en el ente público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Descripción general del bien.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Importe registrado en la contabilidad</a:t>
          </a:r>
          <a:r>
            <a:rPr lang="es-ES" sz="900" i="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lnSpc>
              <a:spcPts val="1000"/>
            </a:lnSpc>
          </a:pPr>
          <a:endParaRPr lang="es-ES" sz="1000" b="0" i="1" u="none" strike="noStrike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337185</xdr:colOff>
      <xdr:row>12</xdr:row>
      <xdr:rowOff>104775</xdr:rowOff>
    </xdr:from>
    <xdr:to>
      <xdr:col>2</xdr:col>
      <xdr:colOff>2028825</xdr:colOff>
      <xdr:row>17</xdr:row>
      <xdr:rowOff>42329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5566410" y="2562225"/>
          <a:ext cx="1691640" cy="747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Gregorio Radilla Salas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12</xdr:row>
      <xdr:rowOff>123825</xdr:rowOff>
    </xdr:from>
    <xdr:to>
      <xdr:col>2</xdr:col>
      <xdr:colOff>285750</xdr:colOff>
      <xdr:row>17</xdr:row>
      <xdr:rowOff>68202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3467100" y="2581275"/>
          <a:ext cx="2047875" cy="754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1759777</xdr:colOff>
      <xdr:row>12</xdr:row>
      <xdr:rowOff>112395</xdr:rowOff>
    </xdr:from>
    <xdr:to>
      <xdr:col>1</xdr:col>
      <xdr:colOff>1676400</xdr:colOff>
      <xdr:row>16</xdr:row>
      <xdr:rowOff>140784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759777" y="2569845"/>
          <a:ext cx="1993073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0</xdr:col>
      <xdr:colOff>47625</xdr:colOff>
      <xdr:row>12</xdr:row>
      <xdr:rowOff>123825</xdr:rowOff>
    </xdr:from>
    <xdr:to>
      <xdr:col>0</xdr:col>
      <xdr:colOff>1752599</xdr:colOff>
      <xdr:row>16</xdr:row>
      <xdr:rowOff>152214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47625" y="2581275"/>
          <a:ext cx="1704974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23</xdr:row>
      <xdr:rowOff>123825</xdr:rowOff>
    </xdr:to>
    <xdr:sp macro="" textlink="">
      <xdr:nvSpPr>
        <xdr:cNvPr id="5" name="6 CuadroTexto"/>
        <xdr:cNvSpPr txBox="1"/>
      </xdr:nvSpPr>
      <xdr:spPr>
        <a:xfrm>
          <a:off x="0" y="3590925"/>
          <a:ext cx="7553325" cy="771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  <a:effectLst>
          <a:outerShdw sx="1000" sy="1000" algn="t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.-</a:t>
          </a:r>
          <a:r>
            <a:rPr lang="es-ES" sz="900" b="0" i="0" baseline="0">
              <a:latin typeface="Arial" panose="020B0604020202020204" pitchFamily="34" charset="0"/>
              <a:cs typeface="Arial" panose="020B0604020202020204" pitchFamily="34" charset="0"/>
            </a:rPr>
            <a:t> La fecha corresponde al cierre del periodo.</a:t>
          </a:r>
          <a:endParaRPr lang="es-ES" sz="900" b="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Número de identificación o inventario de acuerdo a la normatividad aplicable en el ente público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Descripción general del bien.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Importe registrado en la contabilidad</a:t>
          </a:r>
          <a:r>
            <a:rPr lang="es-ES" sz="900" i="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lnSpc>
              <a:spcPts val="1000"/>
            </a:lnSpc>
          </a:pPr>
          <a:endParaRPr lang="es-ES" sz="1000" b="0" i="1" u="none" strike="noStrike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337185</xdr:colOff>
      <xdr:row>12</xdr:row>
      <xdr:rowOff>104775</xdr:rowOff>
    </xdr:from>
    <xdr:to>
      <xdr:col>2</xdr:col>
      <xdr:colOff>2028825</xdr:colOff>
      <xdr:row>17</xdr:row>
      <xdr:rowOff>42329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5566410" y="2562225"/>
          <a:ext cx="1691640" cy="747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1783182</xdr:colOff>
      <xdr:row>2155</xdr:row>
      <xdr:rowOff>28074</xdr:rowOff>
    </xdr:from>
    <xdr:to>
      <xdr:col>1</xdr:col>
      <xdr:colOff>4093245</xdr:colOff>
      <xdr:row>2160</xdr:row>
      <xdr:rowOff>94749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3758366" y="419338627"/>
          <a:ext cx="2310063" cy="868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indent="0"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Francisco Javier elísea de la cruz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1591335</xdr:colOff>
      <xdr:row>2155</xdr:row>
      <xdr:rowOff>30079</xdr:rowOff>
    </xdr:from>
    <xdr:to>
      <xdr:col>1</xdr:col>
      <xdr:colOff>1603208</xdr:colOff>
      <xdr:row>2160</xdr:row>
      <xdr:rowOff>142288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591335" y="419340632"/>
          <a:ext cx="1987057" cy="914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indent="0"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"/>
              <a:ea typeface="+mn-ea"/>
              <a:cs typeface="Arial"/>
            </a:rPr>
            <a:t>L.C Hilario Solís Cervantes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0</xdr:col>
      <xdr:colOff>38100</xdr:colOff>
      <xdr:row>2155</xdr:row>
      <xdr:rowOff>0</xdr:rowOff>
    </xdr:from>
    <xdr:to>
      <xdr:col>0</xdr:col>
      <xdr:colOff>1743074</xdr:colOff>
      <xdr:row>2160</xdr:row>
      <xdr:rowOff>104589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38100" y="458752575"/>
          <a:ext cx="1704974" cy="914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"/>
              <a:cs typeface="Arial"/>
            </a:rPr>
            <a:t>Téc</a:t>
          </a:r>
          <a:r>
            <a:rPr lang="es-MX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. Isaac Vargas Tapia</a:t>
          </a:r>
          <a:endParaRPr lang="es-MX" sz="900" b="1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0</xdr:col>
      <xdr:colOff>0</xdr:colOff>
      <xdr:row>2187</xdr:row>
      <xdr:rowOff>0</xdr:rowOff>
    </xdr:from>
    <xdr:to>
      <xdr:col>3</xdr:col>
      <xdr:colOff>0</xdr:colOff>
      <xdr:row>2191</xdr:row>
      <xdr:rowOff>123825</xdr:rowOff>
    </xdr:to>
    <xdr:sp macro="" textlink="">
      <xdr:nvSpPr>
        <xdr:cNvPr id="5" name="6 CuadroTexto"/>
        <xdr:cNvSpPr txBox="1"/>
      </xdr:nvSpPr>
      <xdr:spPr>
        <a:xfrm>
          <a:off x="0" y="3657600"/>
          <a:ext cx="7553325" cy="771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  <a:effectLst>
          <a:outerShdw sx="1000" sy="1000" algn="t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.-</a:t>
          </a:r>
          <a:r>
            <a:rPr lang="es-ES" sz="900" b="0" i="0" baseline="0">
              <a:latin typeface="Arial" panose="020B0604020202020204" pitchFamily="34" charset="0"/>
              <a:cs typeface="Arial" panose="020B0604020202020204" pitchFamily="34" charset="0"/>
            </a:rPr>
            <a:t> La fecha corresponde al cierre del periodo.</a:t>
          </a:r>
          <a:endParaRPr lang="es-ES" sz="900" b="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Número de identificación o inventario de acuerdo a la normatividad aplicable en el ente público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Descripción general del bien.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Importe registrado en la contabilidad</a:t>
          </a:r>
          <a:r>
            <a:rPr lang="es-ES" sz="900" i="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lnSpc>
              <a:spcPts val="1000"/>
            </a:lnSpc>
          </a:pPr>
          <a:endParaRPr lang="es-ES" sz="1000" b="0" i="1" u="none" strike="noStrike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180976</xdr:colOff>
      <xdr:row>2155</xdr:row>
      <xdr:rowOff>28575</xdr:rowOff>
    </xdr:from>
    <xdr:to>
      <xdr:col>3</xdr:col>
      <xdr:colOff>152400</xdr:colOff>
      <xdr:row>2161</xdr:row>
      <xdr:rowOff>28575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5886451" y="458781150"/>
          <a:ext cx="1800224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0" i="0" u="sng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u="sng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Gregorio Radilla Salas  </a:t>
          </a:r>
          <a:endParaRPr lang="es-MX" sz="900" b="1" i="0" u="sng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1428750</xdr:colOff>
      <xdr:row>19</xdr:row>
      <xdr:rowOff>104775</xdr:rowOff>
    </xdr:from>
    <xdr:to>
      <xdr:col>2</xdr:col>
      <xdr:colOff>390525</xdr:colOff>
      <xdr:row>27</xdr:row>
      <xdr:rowOff>19050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3505200" y="5153025"/>
          <a:ext cx="243840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rtl="1"/>
          <a:r>
            <a:rPr lang="es-MX" sz="1100" b="1" i="0" u="sng">
              <a:effectLst/>
              <a:latin typeface="+mn-lt"/>
              <a:ea typeface="+mn-ea"/>
              <a:cs typeface="+mn-cs"/>
            </a:rPr>
            <a:t>Mtro. Francisco Javier elísea de la cruz </a:t>
          </a:r>
          <a:endParaRPr lang="es-MX" sz="1000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1597852</xdr:colOff>
      <xdr:row>19</xdr:row>
      <xdr:rowOff>93345</xdr:rowOff>
    </xdr:from>
    <xdr:to>
      <xdr:col>1</xdr:col>
      <xdr:colOff>1514475</xdr:colOff>
      <xdr:row>25</xdr:row>
      <xdr:rowOff>47625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597852" y="5141595"/>
          <a:ext cx="1993073" cy="92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rtl="1"/>
          <a:endParaRPr lang="es-MX" sz="900" b="0" i="0" strike="noStrike">
            <a:solidFill>
              <a:srgbClr val="000000"/>
            </a:solidFill>
            <a:effectLst/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1000" b="1" u="sng">
            <a:effectLst/>
            <a:latin typeface="+mn-lt"/>
            <a:ea typeface="+mn-ea"/>
            <a:cs typeface="+mn-cs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u="sng">
              <a:effectLst/>
              <a:latin typeface="+mn-lt"/>
              <a:ea typeface="+mn-ea"/>
              <a:cs typeface="+mn-cs"/>
            </a:rPr>
            <a:t>L.C Hilario Solís Cervantes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0</xdr:col>
      <xdr:colOff>9525</xdr:colOff>
      <xdr:row>19</xdr:row>
      <xdr:rowOff>114300</xdr:rowOff>
    </xdr:from>
    <xdr:to>
      <xdr:col>0</xdr:col>
      <xdr:colOff>1714499</xdr:colOff>
      <xdr:row>23</xdr:row>
      <xdr:rowOff>142689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9525" y="5162550"/>
          <a:ext cx="1704974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 u="sng">
              <a:effectLst/>
              <a:latin typeface="+mn-lt"/>
              <a:ea typeface="+mn-ea"/>
              <a:cs typeface="+mn-cs"/>
            </a:rPr>
            <a:t>Téc</a:t>
          </a:r>
          <a:r>
            <a:rPr lang="es-MX" sz="1000" b="1" i="0" u="sng" baseline="0">
              <a:effectLst/>
              <a:latin typeface="+mn-lt"/>
              <a:ea typeface="+mn-ea"/>
              <a:cs typeface="+mn-cs"/>
            </a:rPr>
            <a:t>. Isaac Vargas Tapia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3</xdr:col>
      <xdr:colOff>0</xdr:colOff>
      <xdr:row>37</xdr:row>
      <xdr:rowOff>123825</xdr:rowOff>
    </xdr:to>
    <xdr:sp macro="" textlink="">
      <xdr:nvSpPr>
        <xdr:cNvPr id="5" name="6 CuadroTexto"/>
        <xdr:cNvSpPr txBox="1"/>
      </xdr:nvSpPr>
      <xdr:spPr>
        <a:xfrm>
          <a:off x="0" y="3590925"/>
          <a:ext cx="7553325" cy="771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  <a:effectLst>
          <a:outerShdw sx="1000" sy="1000" algn="t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.-</a:t>
          </a:r>
          <a:r>
            <a:rPr lang="es-ES" sz="900" b="0" i="0" baseline="0">
              <a:latin typeface="Arial" panose="020B0604020202020204" pitchFamily="34" charset="0"/>
              <a:cs typeface="Arial" panose="020B0604020202020204" pitchFamily="34" charset="0"/>
            </a:rPr>
            <a:t> La fecha corresponde al cierre del periodo.</a:t>
          </a:r>
          <a:endParaRPr lang="es-ES" sz="900" b="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Número de identificación o inventario de acuerdo a la normatividad aplicable en el ente público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Descripción general del bien.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Importe registrado en la contabilidad</a:t>
          </a:r>
          <a:r>
            <a:rPr lang="es-ES" sz="900" i="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lnSpc>
              <a:spcPts val="1000"/>
            </a:lnSpc>
          </a:pPr>
          <a:endParaRPr lang="es-ES" sz="1000" b="0" i="1" u="none" strike="noStrike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680085</xdr:colOff>
      <xdr:row>19</xdr:row>
      <xdr:rowOff>104776</xdr:rowOff>
    </xdr:from>
    <xdr:to>
      <xdr:col>3</xdr:col>
      <xdr:colOff>104775</xdr:colOff>
      <xdr:row>26</xdr:row>
      <xdr:rowOff>38100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6233160" y="5153026"/>
          <a:ext cx="1748790" cy="1066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u="sng">
              <a:effectLst/>
              <a:latin typeface="+mn-lt"/>
              <a:ea typeface="+mn-ea"/>
              <a:cs typeface="+mn-cs"/>
            </a:rPr>
            <a:t>C.P. Gregorio Radilla Salas 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1352550</xdr:colOff>
      <xdr:row>16</xdr:row>
      <xdr:rowOff>123825</xdr:rowOff>
    </xdr:from>
    <xdr:to>
      <xdr:col>2</xdr:col>
      <xdr:colOff>485775</xdr:colOff>
      <xdr:row>21</xdr:row>
      <xdr:rowOff>68202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3429000" y="4981575"/>
          <a:ext cx="2609850" cy="754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rtl="1"/>
          <a:r>
            <a:rPr lang="es-MX" sz="1100" b="1" i="0" u="sng">
              <a:effectLst/>
              <a:latin typeface="+mn-lt"/>
              <a:ea typeface="+mn-ea"/>
              <a:cs typeface="+mn-cs"/>
            </a:rPr>
            <a:t>Mtro. Francisco Javier elísea de la cruz </a:t>
          </a:r>
          <a:endParaRPr lang="es-MX" sz="900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1559752</xdr:colOff>
      <xdr:row>16</xdr:row>
      <xdr:rowOff>121920</xdr:rowOff>
    </xdr:from>
    <xdr:to>
      <xdr:col>1</xdr:col>
      <xdr:colOff>1476375</xdr:colOff>
      <xdr:row>20</xdr:row>
      <xdr:rowOff>150309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559752" y="4979670"/>
          <a:ext cx="1993073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rtl="1"/>
          <a:endParaRPr lang="es-MX" sz="900" u="sng">
            <a:effectLst/>
          </a:endParaRPr>
        </a:p>
        <a:p>
          <a:pPr algn="ctr" rtl="1" eaLnBrk="1" fontAlgn="auto" latinLnBrk="0" hangingPunct="1"/>
          <a:r>
            <a:rPr lang="es-MX" sz="1100" b="1" u="sng">
              <a:effectLst/>
              <a:latin typeface="+mn-lt"/>
              <a:ea typeface="+mn-ea"/>
              <a:cs typeface="+mn-cs"/>
            </a:rPr>
            <a:t>L.C Hilario Solís Cervantes</a:t>
          </a:r>
          <a:endParaRPr lang="es-MX" sz="900" b="1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0</xdr:col>
      <xdr:colOff>0</xdr:colOff>
      <xdr:row>16</xdr:row>
      <xdr:rowOff>123825</xdr:rowOff>
    </xdr:from>
    <xdr:to>
      <xdr:col>0</xdr:col>
      <xdr:colOff>1704974</xdr:colOff>
      <xdr:row>20</xdr:row>
      <xdr:rowOff>152214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0" y="4981575"/>
          <a:ext cx="1704974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 u="sng">
              <a:effectLst/>
              <a:latin typeface="+mn-lt"/>
              <a:ea typeface="+mn-ea"/>
              <a:cs typeface="+mn-cs"/>
            </a:rPr>
            <a:t>Téc</a:t>
          </a:r>
          <a:r>
            <a:rPr lang="es-MX" sz="1000" b="1" i="0" u="sng" baseline="0">
              <a:effectLst/>
              <a:latin typeface="+mn-lt"/>
              <a:ea typeface="+mn-ea"/>
              <a:cs typeface="+mn-cs"/>
            </a:rPr>
            <a:t>. Isaac Vargas Tapia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3</xdr:col>
      <xdr:colOff>0</xdr:colOff>
      <xdr:row>51</xdr:row>
      <xdr:rowOff>123825</xdr:rowOff>
    </xdr:to>
    <xdr:sp macro="" textlink="">
      <xdr:nvSpPr>
        <xdr:cNvPr id="5" name="6 CuadroTexto"/>
        <xdr:cNvSpPr txBox="1"/>
      </xdr:nvSpPr>
      <xdr:spPr>
        <a:xfrm>
          <a:off x="0" y="6181725"/>
          <a:ext cx="7877175" cy="771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  <a:effectLst>
          <a:outerShdw sx="1000" sy="1000" algn="t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.-</a:t>
          </a:r>
          <a:r>
            <a:rPr lang="es-ES" sz="900" b="0" i="0" baseline="0">
              <a:latin typeface="Arial" panose="020B0604020202020204" pitchFamily="34" charset="0"/>
              <a:cs typeface="Arial" panose="020B0604020202020204" pitchFamily="34" charset="0"/>
            </a:rPr>
            <a:t> La fecha corresponde al cierre del periodo.</a:t>
          </a:r>
          <a:endParaRPr lang="es-ES" sz="900" b="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Número de identificación o inventario de acuerdo a la normatividad aplicable en el ente público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Descripción general del bien.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Importe registrado en la contabilidad</a:t>
          </a:r>
          <a:r>
            <a:rPr lang="es-ES" sz="900" i="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lnSpc>
              <a:spcPts val="1000"/>
            </a:lnSpc>
          </a:pPr>
          <a:endParaRPr lang="es-ES" sz="1000" b="0" i="1" u="none" strike="noStrike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622935</xdr:colOff>
      <xdr:row>16</xdr:row>
      <xdr:rowOff>123825</xdr:rowOff>
    </xdr:from>
    <xdr:to>
      <xdr:col>3</xdr:col>
      <xdr:colOff>104775</xdr:colOff>
      <xdr:row>21</xdr:row>
      <xdr:rowOff>61379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6176010" y="4981575"/>
          <a:ext cx="1805940" cy="747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u="sng">
              <a:effectLst/>
              <a:latin typeface="+mn-lt"/>
              <a:ea typeface="+mn-ea"/>
              <a:cs typeface="+mn-cs"/>
            </a:rPr>
            <a:t>C.P. Gregorio Radilla Salas 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710</xdr:row>
      <xdr:rowOff>133350</xdr:rowOff>
    </xdr:from>
    <xdr:to>
      <xdr:col>0</xdr:col>
      <xdr:colOff>1657350</xdr:colOff>
      <xdr:row>714</xdr:row>
      <xdr:rowOff>161739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47625" y="22507575"/>
          <a:ext cx="1609725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 u="sng">
              <a:effectLst/>
              <a:latin typeface="+mn-lt"/>
              <a:ea typeface="+mn-ea"/>
              <a:cs typeface="+mn-cs"/>
            </a:rPr>
            <a:t>Téc</a:t>
          </a:r>
          <a:r>
            <a:rPr lang="es-MX" sz="1000" b="1" i="0" u="sng" baseline="0">
              <a:effectLst/>
              <a:latin typeface="+mn-lt"/>
              <a:ea typeface="+mn-ea"/>
              <a:cs typeface="+mn-cs"/>
            </a:rPr>
            <a:t>. Isaac Vargas Tapia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0</xdr:col>
      <xdr:colOff>0</xdr:colOff>
      <xdr:row>729</xdr:row>
      <xdr:rowOff>0</xdr:rowOff>
    </xdr:from>
    <xdr:to>
      <xdr:col>3</xdr:col>
      <xdr:colOff>0</xdr:colOff>
      <xdr:row>733</xdr:row>
      <xdr:rowOff>123825</xdr:rowOff>
    </xdr:to>
    <xdr:sp macro="" textlink="">
      <xdr:nvSpPr>
        <xdr:cNvPr id="5" name="6 CuadroTexto"/>
        <xdr:cNvSpPr txBox="1"/>
      </xdr:nvSpPr>
      <xdr:spPr>
        <a:xfrm>
          <a:off x="0" y="23507700"/>
          <a:ext cx="7553325" cy="771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  <a:effectLst>
          <a:outerShdw sx="1000" sy="1000" algn="t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.-</a:t>
          </a:r>
          <a:r>
            <a:rPr lang="es-ES" sz="900" b="0" i="0" baseline="0">
              <a:latin typeface="Arial" panose="020B0604020202020204" pitchFamily="34" charset="0"/>
              <a:cs typeface="Arial" panose="020B0604020202020204" pitchFamily="34" charset="0"/>
            </a:rPr>
            <a:t> La fecha corresponde al cierre del periodo.</a:t>
          </a:r>
          <a:endParaRPr lang="es-ES" sz="900" b="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Número de identificación o inventario de acuerdo a la normatividad aplicable en el ente público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Descripción general del bien.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Importe registrado en la contabilidad</a:t>
          </a:r>
          <a:r>
            <a:rPr lang="es-ES" sz="900" i="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lnSpc>
              <a:spcPts val="1000"/>
            </a:lnSpc>
          </a:pPr>
          <a:endParaRPr lang="es-ES" sz="1000" b="0" i="1" u="none" strike="noStrike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514350</xdr:colOff>
      <xdr:row>710</xdr:row>
      <xdr:rowOff>95250</xdr:rowOff>
    </xdr:from>
    <xdr:to>
      <xdr:col>3</xdr:col>
      <xdr:colOff>123825</xdr:colOff>
      <xdr:row>716</xdr:row>
      <xdr:rowOff>104775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6200775" y="183327675"/>
          <a:ext cx="16383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u="sng">
              <a:effectLst/>
              <a:latin typeface="+mn-lt"/>
              <a:ea typeface="+mn-ea"/>
              <a:cs typeface="+mn-cs"/>
            </a:rPr>
            <a:t>C.P. Gregorio Radilla Salas 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1285875</xdr:colOff>
      <xdr:row>710</xdr:row>
      <xdr:rowOff>114300</xdr:rowOff>
    </xdr:from>
    <xdr:to>
      <xdr:col>2</xdr:col>
      <xdr:colOff>285750</xdr:colOff>
      <xdr:row>715</xdr:row>
      <xdr:rowOff>58677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362325" y="183346725"/>
          <a:ext cx="2609850" cy="754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rtl="1"/>
          <a:r>
            <a:rPr lang="es-MX" sz="1100" b="1" i="0" u="sng">
              <a:effectLst/>
              <a:latin typeface="+mn-lt"/>
              <a:ea typeface="+mn-ea"/>
              <a:cs typeface="+mn-cs"/>
            </a:rPr>
            <a:t>Mtro. Francisco Javier elísea de la cruz </a:t>
          </a:r>
          <a:endParaRPr lang="es-MX" sz="900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1590675</xdr:colOff>
      <xdr:row>710</xdr:row>
      <xdr:rowOff>152400</xdr:rowOff>
    </xdr:from>
    <xdr:to>
      <xdr:col>1</xdr:col>
      <xdr:colOff>1501282</xdr:colOff>
      <xdr:row>716</xdr:row>
      <xdr:rowOff>95164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590675" y="183384825"/>
          <a:ext cx="1987057" cy="914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indent="0"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"/>
              <a:ea typeface="+mn-ea"/>
              <a:cs typeface="Arial"/>
            </a:rPr>
            <a:t>L.C Hilario Solís Cervantes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123825</xdr:rowOff>
    </xdr:from>
    <xdr:to>
      <xdr:col>0</xdr:col>
      <xdr:colOff>1609725</xdr:colOff>
      <xdr:row>66</xdr:row>
      <xdr:rowOff>152214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0" y="11058525"/>
          <a:ext cx="1609725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 u="sng">
              <a:effectLst/>
              <a:latin typeface="+mn-lt"/>
              <a:ea typeface="+mn-ea"/>
              <a:cs typeface="+mn-cs"/>
            </a:rPr>
            <a:t>Téc</a:t>
          </a:r>
          <a:r>
            <a:rPr lang="es-MX" sz="1000" b="1" i="0" u="sng" baseline="0">
              <a:effectLst/>
              <a:latin typeface="+mn-lt"/>
              <a:ea typeface="+mn-ea"/>
              <a:cs typeface="+mn-cs"/>
            </a:rPr>
            <a:t>. Isaac Vargas Tapia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3</xdr:col>
      <xdr:colOff>0</xdr:colOff>
      <xdr:row>84</xdr:row>
      <xdr:rowOff>123825</xdr:rowOff>
    </xdr:to>
    <xdr:sp macro="" textlink="">
      <xdr:nvSpPr>
        <xdr:cNvPr id="5" name="6 CuadroTexto"/>
        <xdr:cNvSpPr txBox="1"/>
      </xdr:nvSpPr>
      <xdr:spPr>
        <a:xfrm>
          <a:off x="0" y="23507700"/>
          <a:ext cx="7553325" cy="771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  <a:effectLst>
          <a:outerShdw sx="1000" sy="1000" algn="t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.-</a:t>
          </a:r>
          <a:r>
            <a:rPr lang="es-ES" sz="900" b="0" i="0" baseline="0">
              <a:latin typeface="Arial" panose="020B0604020202020204" pitchFamily="34" charset="0"/>
              <a:cs typeface="Arial" panose="020B0604020202020204" pitchFamily="34" charset="0"/>
            </a:rPr>
            <a:t> La fecha corresponde al cierre del periodo.</a:t>
          </a:r>
          <a:endParaRPr lang="es-ES" sz="900" b="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Número de identificación o inventario de acuerdo a la normatividad aplicable en el ente público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Descripción general del bien.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Importe registrado en la contabilidad</a:t>
          </a:r>
          <a:r>
            <a:rPr lang="es-ES" sz="900" i="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lnSpc>
              <a:spcPts val="1000"/>
            </a:lnSpc>
          </a:pPr>
          <a:endParaRPr lang="es-ES" sz="1000" b="0" i="1" u="none" strike="noStrike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756285</xdr:colOff>
      <xdr:row>63</xdr:row>
      <xdr:rowOff>0</xdr:rowOff>
    </xdr:from>
    <xdr:to>
      <xdr:col>3</xdr:col>
      <xdr:colOff>123825</xdr:colOff>
      <xdr:row>68</xdr:row>
      <xdr:rowOff>28575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5985510" y="11096625"/>
          <a:ext cx="169164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u="sng">
              <a:effectLst/>
              <a:latin typeface="+mn-lt"/>
              <a:ea typeface="+mn-ea"/>
              <a:cs typeface="+mn-cs"/>
            </a:rPr>
            <a:t>C.P. Gregorio Radilla Salas 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7</xdr:col>
      <xdr:colOff>323850</xdr:colOff>
      <xdr:row>86</xdr:row>
      <xdr:rowOff>106302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8315325" y="14173200"/>
          <a:ext cx="2609850" cy="754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rtl="1"/>
          <a:r>
            <a:rPr lang="es-MX" sz="1100" b="1" i="0" u="sng">
              <a:effectLst/>
              <a:latin typeface="+mn-lt"/>
              <a:ea typeface="+mn-ea"/>
              <a:cs typeface="+mn-cs"/>
            </a:rPr>
            <a:t>Mtro. Francisco Javier elísea de la cruz </a:t>
          </a:r>
          <a:endParaRPr lang="es-MX" sz="900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1181100</xdr:colOff>
      <xdr:row>62</xdr:row>
      <xdr:rowOff>133350</xdr:rowOff>
    </xdr:from>
    <xdr:to>
      <xdr:col>2</xdr:col>
      <xdr:colOff>638175</xdr:colOff>
      <xdr:row>67</xdr:row>
      <xdr:rowOff>77727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3257550" y="11068050"/>
          <a:ext cx="2609850" cy="754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rtl="1"/>
          <a:r>
            <a:rPr lang="es-MX" sz="1100" b="1" i="0" u="sng">
              <a:effectLst/>
              <a:latin typeface="+mn-lt"/>
              <a:ea typeface="+mn-ea"/>
              <a:cs typeface="+mn-cs"/>
            </a:rPr>
            <a:t>Mtro. Francisco Javier elísea de la cruz </a:t>
          </a:r>
          <a:endParaRPr lang="es-MX" sz="900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1552575</xdr:colOff>
      <xdr:row>62</xdr:row>
      <xdr:rowOff>142875</xdr:rowOff>
    </xdr:from>
    <xdr:to>
      <xdr:col>1</xdr:col>
      <xdr:colOff>1463182</xdr:colOff>
      <xdr:row>68</xdr:row>
      <xdr:rowOff>85639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552575" y="11077575"/>
          <a:ext cx="1987057" cy="914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indent="0"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"/>
              <a:ea typeface="+mn-ea"/>
              <a:cs typeface="Arial"/>
            </a:rPr>
            <a:t>L.C Hilario Solís Cervantes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1930</xdr:row>
      <xdr:rowOff>161925</xdr:rowOff>
    </xdr:from>
    <xdr:to>
      <xdr:col>0</xdr:col>
      <xdr:colOff>1609725</xdr:colOff>
      <xdr:row>1934</xdr:row>
      <xdr:rowOff>104589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0" y="327336150"/>
          <a:ext cx="1609725" cy="647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 u="sng">
              <a:effectLst/>
              <a:latin typeface="+mn-lt"/>
              <a:ea typeface="+mn-ea"/>
              <a:cs typeface="+mn-cs"/>
            </a:rPr>
            <a:t>Téc</a:t>
          </a:r>
          <a:r>
            <a:rPr lang="es-MX" sz="1000" b="1" i="0" u="sng" baseline="0">
              <a:effectLst/>
              <a:latin typeface="+mn-lt"/>
              <a:ea typeface="+mn-ea"/>
              <a:cs typeface="+mn-cs"/>
            </a:rPr>
            <a:t>. Isaac Vargas Tapia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0</xdr:col>
      <xdr:colOff>0</xdr:colOff>
      <xdr:row>1939</xdr:row>
      <xdr:rowOff>0</xdr:rowOff>
    </xdr:from>
    <xdr:to>
      <xdr:col>3</xdr:col>
      <xdr:colOff>0</xdr:colOff>
      <xdr:row>1943</xdr:row>
      <xdr:rowOff>123825</xdr:rowOff>
    </xdr:to>
    <xdr:sp macro="" textlink="">
      <xdr:nvSpPr>
        <xdr:cNvPr id="5" name="6 CuadroTexto"/>
        <xdr:cNvSpPr txBox="1"/>
      </xdr:nvSpPr>
      <xdr:spPr>
        <a:xfrm>
          <a:off x="0" y="23507700"/>
          <a:ext cx="7553325" cy="771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  <a:effectLst>
          <a:outerShdw sx="1000" sy="1000" algn="t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.-</a:t>
          </a:r>
          <a:r>
            <a:rPr lang="es-ES" sz="900" b="0" i="0" baseline="0">
              <a:latin typeface="Arial" panose="020B0604020202020204" pitchFamily="34" charset="0"/>
              <a:cs typeface="Arial" panose="020B0604020202020204" pitchFamily="34" charset="0"/>
            </a:rPr>
            <a:t> La fecha corresponde al cierre del periodo.</a:t>
          </a:r>
          <a:endParaRPr lang="es-ES" sz="900" b="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Número de identificación o inventario de acuerdo a la normatividad aplicable en el ente público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Descripción general del bien.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Importe registrado en la contabilidad</a:t>
          </a:r>
          <a:r>
            <a:rPr lang="es-ES" sz="900" i="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lnSpc>
              <a:spcPts val="1000"/>
            </a:lnSpc>
          </a:pPr>
          <a:endParaRPr lang="es-ES" sz="1000" b="0" i="1" u="none" strike="noStrike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3581400</xdr:colOff>
      <xdr:row>1930</xdr:row>
      <xdr:rowOff>171450</xdr:rowOff>
    </xdr:from>
    <xdr:to>
      <xdr:col>2</xdr:col>
      <xdr:colOff>1619250</xdr:colOff>
      <xdr:row>1935</xdr:row>
      <xdr:rowOff>51854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5657850" y="326726550"/>
          <a:ext cx="1905000" cy="747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u="sng">
              <a:effectLst/>
              <a:latin typeface="+mn-lt"/>
              <a:ea typeface="+mn-ea"/>
              <a:cs typeface="+mn-cs"/>
            </a:rPr>
            <a:t>C.P. Gregorio Radilla Salas 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895350</xdr:colOff>
      <xdr:row>1930</xdr:row>
      <xdr:rowOff>152400</xdr:rowOff>
    </xdr:from>
    <xdr:to>
      <xdr:col>1</xdr:col>
      <xdr:colOff>3505200</xdr:colOff>
      <xdr:row>1935</xdr:row>
      <xdr:rowOff>39627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2971800" y="326707500"/>
          <a:ext cx="2609850" cy="754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rtl="1"/>
          <a:r>
            <a:rPr lang="es-MX" sz="1100" b="1" i="0" u="sng">
              <a:effectLst/>
              <a:latin typeface="+mn-lt"/>
              <a:ea typeface="+mn-ea"/>
              <a:cs typeface="+mn-cs"/>
            </a:rPr>
            <a:t>Mtro. Francisco Javier elísea de la cruz </a:t>
          </a:r>
          <a:endParaRPr lang="es-MX" sz="900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1343025</xdr:colOff>
      <xdr:row>1930</xdr:row>
      <xdr:rowOff>171450</xdr:rowOff>
    </xdr:from>
    <xdr:to>
      <xdr:col>1</xdr:col>
      <xdr:colOff>1253632</xdr:colOff>
      <xdr:row>1934</xdr:row>
      <xdr:rowOff>142874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343025" y="326726550"/>
          <a:ext cx="1987057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indent="0"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"/>
              <a:ea typeface="+mn-ea"/>
              <a:cs typeface="Arial"/>
            </a:rPr>
            <a:t>L.C Hilario Solís Cervantes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389</xdr:row>
      <xdr:rowOff>95250</xdr:rowOff>
    </xdr:from>
    <xdr:to>
      <xdr:col>0</xdr:col>
      <xdr:colOff>1704974</xdr:colOff>
      <xdr:row>393</xdr:row>
      <xdr:rowOff>123639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0" y="75561825"/>
          <a:ext cx="1704974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 u="sng">
              <a:effectLst/>
              <a:latin typeface="+mn-lt"/>
              <a:ea typeface="+mn-ea"/>
              <a:cs typeface="+mn-cs"/>
            </a:rPr>
            <a:t>Téc</a:t>
          </a:r>
          <a:r>
            <a:rPr lang="es-MX" sz="1000" b="1" i="0" u="sng" baseline="0">
              <a:effectLst/>
              <a:latin typeface="+mn-lt"/>
              <a:ea typeface="+mn-ea"/>
              <a:cs typeface="+mn-cs"/>
            </a:rPr>
            <a:t>. Isaac Vargas Tapia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0</xdr:col>
      <xdr:colOff>0</xdr:colOff>
      <xdr:row>438</xdr:row>
      <xdr:rowOff>0</xdr:rowOff>
    </xdr:from>
    <xdr:to>
      <xdr:col>3</xdr:col>
      <xdr:colOff>0</xdr:colOff>
      <xdr:row>442</xdr:row>
      <xdr:rowOff>123825</xdr:rowOff>
    </xdr:to>
    <xdr:sp macro="" textlink="">
      <xdr:nvSpPr>
        <xdr:cNvPr id="5" name="6 CuadroTexto"/>
        <xdr:cNvSpPr txBox="1"/>
      </xdr:nvSpPr>
      <xdr:spPr>
        <a:xfrm>
          <a:off x="0" y="3590925"/>
          <a:ext cx="7553325" cy="771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  <a:effectLst>
          <a:outerShdw sx="1000" sy="1000" algn="t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ES" sz="900" b="1" i="0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.-</a:t>
          </a:r>
          <a:r>
            <a:rPr lang="es-ES" sz="900" b="0" i="0" baseline="0">
              <a:latin typeface="Arial" panose="020B0604020202020204" pitchFamily="34" charset="0"/>
              <a:cs typeface="Arial" panose="020B0604020202020204" pitchFamily="34" charset="0"/>
            </a:rPr>
            <a:t> La fecha corresponde al cierre del periodo.</a:t>
          </a:r>
          <a:endParaRPr lang="es-ES" sz="900" b="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Número de identificación o inventario de acuerdo a la normatividad aplicable en el ente público</a:t>
          </a:r>
          <a:r>
            <a:rPr lang="es-ES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b="0" i="0">
              <a:latin typeface="Arial" panose="020B0604020202020204" pitchFamily="34" charset="0"/>
              <a:cs typeface="Arial" panose="020B0604020202020204" pitchFamily="34" charset="0"/>
            </a:rPr>
            <a:t> Descripción general del bien.</a:t>
          </a:r>
          <a:endParaRPr lang="es-ES" sz="9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s-ES" sz="9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Importe registrado en la contabilidad</a:t>
          </a:r>
          <a:r>
            <a:rPr lang="es-ES" sz="900" i="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ES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lnSpc>
              <a:spcPts val="1000"/>
            </a:lnSpc>
          </a:pPr>
          <a:endParaRPr lang="es-ES" sz="1000" b="0" i="1" u="none" strike="noStrike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337185</xdr:colOff>
      <xdr:row>389</xdr:row>
      <xdr:rowOff>104778</xdr:rowOff>
    </xdr:from>
    <xdr:to>
      <xdr:col>3</xdr:col>
      <xdr:colOff>0</xdr:colOff>
      <xdr:row>397</xdr:row>
      <xdr:rowOff>9526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5766435" y="75571353"/>
          <a:ext cx="1691640" cy="1200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u="sng">
              <a:effectLst/>
              <a:latin typeface="+mn-lt"/>
              <a:ea typeface="+mn-ea"/>
              <a:cs typeface="+mn-cs"/>
            </a:rPr>
            <a:t>C.P. Gregorio Radilla Salas 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981075</xdr:colOff>
      <xdr:row>389</xdr:row>
      <xdr:rowOff>85725</xdr:rowOff>
    </xdr:from>
    <xdr:to>
      <xdr:col>2</xdr:col>
      <xdr:colOff>180975</xdr:colOff>
      <xdr:row>394</xdr:row>
      <xdr:rowOff>30102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3000375" y="75552300"/>
          <a:ext cx="2609850" cy="754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rtl="1"/>
          <a:r>
            <a:rPr lang="es-MX" sz="1100" b="1" i="0" u="sng">
              <a:effectLst/>
              <a:latin typeface="+mn-lt"/>
              <a:ea typeface="+mn-ea"/>
              <a:cs typeface="+mn-cs"/>
            </a:rPr>
            <a:t>Mtro. Francisco Javier elísea de la cruz </a:t>
          </a:r>
          <a:endParaRPr lang="es-MX" sz="900">
            <a:effectLst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1381125</xdr:colOff>
      <xdr:row>389</xdr:row>
      <xdr:rowOff>114300</xdr:rowOff>
    </xdr:from>
    <xdr:to>
      <xdr:col>1</xdr:col>
      <xdr:colOff>1348882</xdr:colOff>
      <xdr:row>395</xdr:row>
      <xdr:rowOff>57064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381125" y="75580875"/>
          <a:ext cx="1987057" cy="914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indent="0"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"/>
              <a:ea typeface="+mn-ea"/>
              <a:cs typeface="Arial"/>
            </a:rPr>
            <a:t>L.C Hilario Solís Cervantes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97"/>
  <sheetViews>
    <sheetView zoomScale="110" zoomScaleNormal="110" workbookViewId="0">
      <pane ySplit="4" topLeftCell="A5" activePane="bottomLeft" state="frozen"/>
      <selection pane="bottomLeft" activeCell="C19" sqref="C19"/>
    </sheetView>
  </sheetViews>
  <sheetFormatPr baseColWidth="10" defaultRowHeight="12.75" x14ac:dyDescent="0.2"/>
  <cols>
    <col min="1" max="1" width="4.85546875" style="2" customWidth="1"/>
    <col min="2" max="2" width="8.5703125" style="2" customWidth="1"/>
    <col min="3" max="3" width="81.7109375" style="2" customWidth="1"/>
    <col min="4" max="4" width="0" style="2" hidden="1" customWidth="1"/>
    <col min="5" max="16384" width="11.42578125" style="2"/>
  </cols>
  <sheetData>
    <row r="1" spans="1:11" x14ac:dyDescent="0.2">
      <c r="A1" s="24"/>
      <c r="B1" s="113" t="s">
        <v>130</v>
      </c>
      <c r="C1" s="113"/>
      <c r="D1" s="1"/>
      <c r="E1" s="24"/>
      <c r="F1" s="24"/>
      <c r="G1" s="24"/>
      <c r="H1" s="24"/>
      <c r="I1" s="24"/>
      <c r="J1" s="1"/>
      <c r="K1" s="1"/>
    </row>
    <row r="2" spans="1:11" ht="18" x14ac:dyDescent="0.25">
      <c r="A2" s="24"/>
      <c r="B2" s="103" t="s">
        <v>85</v>
      </c>
      <c r="C2" s="103"/>
      <c r="D2" s="1"/>
      <c r="E2" s="24"/>
      <c r="F2" s="24"/>
      <c r="G2" s="24"/>
      <c r="H2" s="24"/>
      <c r="I2" s="24"/>
      <c r="J2" s="1"/>
      <c r="K2" s="1"/>
    </row>
    <row r="3" spans="1:11" x14ac:dyDescent="0.2">
      <c r="A3" s="24"/>
      <c r="B3" s="104" t="s">
        <v>143</v>
      </c>
      <c r="C3" s="104"/>
      <c r="D3" s="1"/>
      <c r="E3" s="24"/>
      <c r="F3" s="24"/>
      <c r="G3" s="24"/>
      <c r="H3" s="24"/>
      <c r="I3" s="24"/>
      <c r="J3" s="1"/>
      <c r="K3" s="1"/>
    </row>
    <row r="4" spans="1:11" x14ac:dyDescent="0.2">
      <c r="A4" s="24"/>
      <c r="B4" s="5" t="s">
        <v>23</v>
      </c>
      <c r="C4" s="6" t="s">
        <v>14</v>
      </c>
      <c r="D4" s="1"/>
      <c r="E4" s="24"/>
      <c r="F4" s="24"/>
      <c r="G4" s="24"/>
      <c r="H4" s="24"/>
      <c r="I4" s="24"/>
      <c r="J4" s="1"/>
      <c r="K4" s="1"/>
    </row>
    <row r="5" spans="1:11" ht="15" customHeight="1" x14ac:dyDescent="0.2">
      <c r="A5" s="24"/>
      <c r="B5" s="104" t="s">
        <v>46</v>
      </c>
      <c r="C5" s="104"/>
      <c r="D5" s="1"/>
      <c r="E5" s="24"/>
      <c r="F5" s="24"/>
      <c r="G5" s="24"/>
      <c r="H5" s="24"/>
      <c r="I5" s="24"/>
      <c r="J5" s="1"/>
      <c r="K5" s="1"/>
    </row>
    <row r="6" spans="1:11" x14ac:dyDescent="0.2">
      <c r="A6" s="24"/>
      <c r="B6" s="7" t="s">
        <v>49</v>
      </c>
      <c r="C6" s="8" t="s">
        <v>33</v>
      </c>
      <c r="D6" s="1"/>
      <c r="E6" s="24"/>
      <c r="F6" s="24"/>
      <c r="G6" s="24"/>
      <c r="H6" s="24"/>
      <c r="I6" s="24"/>
      <c r="J6" s="1"/>
      <c r="K6" s="1"/>
    </row>
    <row r="7" spans="1:11" x14ac:dyDescent="0.2">
      <c r="A7" s="24"/>
      <c r="B7" s="7" t="s">
        <v>50</v>
      </c>
      <c r="C7" s="8" t="s">
        <v>24</v>
      </c>
      <c r="D7" s="1"/>
      <c r="E7" s="24"/>
      <c r="F7" s="105" t="s">
        <v>139</v>
      </c>
      <c r="G7" s="105"/>
      <c r="H7" s="105"/>
      <c r="I7" s="105"/>
      <c r="J7" s="1"/>
      <c r="K7" s="1"/>
    </row>
    <row r="8" spans="1:11" ht="13.5" thickBot="1" x14ac:dyDescent="0.25">
      <c r="A8" s="24"/>
      <c r="B8" s="7" t="s">
        <v>51</v>
      </c>
      <c r="C8" s="8" t="s">
        <v>40</v>
      </c>
      <c r="D8" s="1"/>
      <c r="E8" s="24"/>
      <c r="F8" s="106"/>
      <c r="G8" s="106"/>
      <c r="H8" s="106"/>
      <c r="I8" s="106"/>
      <c r="J8" s="1"/>
      <c r="K8" s="1"/>
    </row>
    <row r="9" spans="1:11" ht="16.5" thickTop="1" thickBot="1" x14ac:dyDescent="0.3">
      <c r="A9" s="24"/>
      <c r="B9" s="7" t="s">
        <v>52</v>
      </c>
      <c r="C9" s="9" t="s">
        <v>41</v>
      </c>
      <c r="D9" s="1"/>
      <c r="E9" s="24"/>
      <c r="F9" s="107" t="s">
        <v>131</v>
      </c>
      <c r="G9" s="108"/>
      <c r="H9" s="108"/>
      <c r="I9" s="109"/>
      <c r="J9" s="1"/>
      <c r="K9" s="1"/>
    </row>
    <row r="10" spans="1:11" ht="16.5" thickTop="1" thickBot="1" x14ac:dyDescent="0.3">
      <c r="A10" s="24"/>
      <c r="B10" s="7" t="s">
        <v>53</v>
      </c>
      <c r="C10" s="9" t="s">
        <v>42</v>
      </c>
      <c r="D10" s="1"/>
      <c r="E10" s="24"/>
      <c r="F10" s="110" t="s">
        <v>142</v>
      </c>
      <c r="G10" s="111"/>
      <c r="H10" s="111"/>
      <c r="I10" s="112"/>
      <c r="J10" s="1"/>
      <c r="K10" s="1"/>
    </row>
    <row r="11" spans="1:11" ht="13.5" thickTop="1" x14ac:dyDescent="0.2">
      <c r="A11" s="24"/>
      <c r="B11" s="7" t="s">
        <v>54</v>
      </c>
      <c r="C11" s="10" t="s">
        <v>25</v>
      </c>
      <c r="D11" s="1"/>
      <c r="E11" s="24"/>
      <c r="F11" s="24"/>
      <c r="G11" s="24"/>
      <c r="H11" s="24"/>
      <c r="I11" s="24"/>
      <c r="J11" s="1"/>
      <c r="K11" s="1"/>
    </row>
    <row r="12" spans="1:11" x14ac:dyDescent="0.2">
      <c r="A12" s="24"/>
      <c r="B12" s="11" t="s">
        <v>55</v>
      </c>
      <c r="C12" s="12" t="s">
        <v>26</v>
      </c>
      <c r="D12" s="1"/>
      <c r="E12" s="24"/>
      <c r="F12" s="24"/>
      <c r="G12" s="24"/>
      <c r="H12" s="24"/>
      <c r="I12" s="24"/>
      <c r="J12" s="1"/>
      <c r="K12" s="1"/>
    </row>
    <row r="13" spans="1:11" x14ac:dyDescent="0.2">
      <c r="A13" s="24"/>
      <c r="B13" s="11" t="s">
        <v>56</v>
      </c>
      <c r="C13" s="12" t="s">
        <v>83</v>
      </c>
      <c r="D13" s="1"/>
      <c r="E13" s="24"/>
      <c r="F13" s="24"/>
      <c r="G13" s="24"/>
      <c r="H13" s="24"/>
      <c r="I13" s="24"/>
      <c r="J13" s="1"/>
      <c r="K13" s="1"/>
    </row>
    <row r="14" spans="1:11" x14ac:dyDescent="0.2">
      <c r="A14" s="24"/>
      <c r="B14" s="13" t="s">
        <v>140</v>
      </c>
      <c r="C14" s="12" t="s">
        <v>141</v>
      </c>
      <c r="D14" s="1"/>
      <c r="E14" s="24"/>
      <c r="F14" s="24"/>
      <c r="G14" s="24"/>
      <c r="H14" s="24"/>
      <c r="I14" s="24"/>
      <c r="J14" s="1"/>
      <c r="K14" s="1"/>
    </row>
    <row r="15" spans="1:11" x14ac:dyDescent="0.2">
      <c r="A15" s="24"/>
      <c r="B15" s="11" t="s">
        <v>57</v>
      </c>
      <c r="C15" s="12" t="s">
        <v>27</v>
      </c>
      <c r="D15" s="1"/>
      <c r="E15" s="24"/>
      <c r="F15" s="24"/>
      <c r="G15" s="24"/>
      <c r="H15" s="24"/>
      <c r="I15" s="24"/>
      <c r="J15" s="1"/>
      <c r="K15" s="1"/>
    </row>
    <row r="16" spans="1:11" x14ac:dyDescent="0.2">
      <c r="A16" s="24"/>
      <c r="B16" s="11" t="s">
        <v>58</v>
      </c>
      <c r="C16" s="12" t="s">
        <v>43</v>
      </c>
      <c r="D16" s="1"/>
      <c r="E16" s="24"/>
      <c r="F16" s="24"/>
      <c r="G16" s="24"/>
      <c r="H16" s="24"/>
      <c r="I16" s="24"/>
      <c r="J16" s="1"/>
      <c r="K16" s="1"/>
    </row>
    <row r="17" spans="1:11" x14ac:dyDescent="0.2">
      <c r="A17" s="24"/>
      <c r="B17" s="11" t="s">
        <v>59</v>
      </c>
      <c r="C17" s="14" t="s">
        <v>44</v>
      </c>
      <c r="D17" s="1"/>
      <c r="E17" s="24"/>
      <c r="F17" s="24"/>
      <c r="G17" s="24"/>
      <c r="H17" s="24"/>
      <c r="I17" s="24"/>
      <c r="J17" s="1"/>
      <c r="K17" s="1"/>
    </row>
    <row r="18" spans="1:11" ht="15" customHeight="1" x14ac:dyDescent="0.2">
      <c r="A18" s="24"/>
      <c r="B18" s="101" t="s">
        <v>47</v>
      </c>
      <c r="C18" s="102"/>
      <c r="D18" s="1"/>
      <c r="E18" s="24"/>
      <c r="F18" s="24"/>
      <c r="G18" s="24"/>
      <c r="H18" s="24"/>
      <c r="I18" s="24"/>
      <c r="J18" s="1"/>
      <c r="K18" s="1"/>
    </row>
    <row r="19" spans="1:11" x14ac:dyDescent="0.2">
      <c r="A19" s="24"/>
      <c r="B19" s="11" t="s">
        <v>60</v>
      </c>
      <c r="C19" s="12" t="s">
        <v>45</v>
      </c>
      <c r="D19" s="1"/>
      <c r="E19" s="24"/>
      <c r="F19" s="24"/>
      <c r="G19" s="24"/>
      <c r="H19" s="24"/>
      <c r="I19" s="24"/>
      <c r="J19" s="1"/>
      <c r="K19" s="1"/>
    </row>
    <row r="20" spans="1:11" x14ac:dyDescent="0.2">
      <c r="A20" s="24"/>
      <c r="B20" s="11" t="s">
        <v>61</v>
      </c>
      <c r="C20" s="12" t="s">
        <v>28</v>
      </c>
      <c r="D20" s="1"/>
      <c r="E20" s="24"/>
      <c r="F20" s="24"/>
      <c r="G20" s="24"/>
      <c r="H20" s="24"/>
      <c r="I20" s="24"/>
      <c r="J20" s="1"/>
      <c r="K20" s="1"/>
    </row>
    <row r="21" spans="1:11" x14ac:dyDescent="0.2">
      <c r="A21" s="24"/>
      <c r="B21" s="11" t="s">
        <v>62</v>
      </c>
      <c r="C21" s="12" t="s">
        <v>29</v>
      </c>
      <c r="D21" s="1"/>
      <c r="E21" s="24"/>
      <c r="F21" s="24"/>
      <c r="G21" s="24"/>
      <c r="H21" s="24"/>
      <c r="I21" s="24"/>
      <c r="J21" s="1"/>
      <c r="K21" s="1"/>
    </row>
    <row r="22" spans="1:11" x14ac:dyDescent="0.2">
      <c r="A22" s="24"/>
      <c r="B22" s="11" t="s">
        <v>63</v>
      </c>
      <c r="C22" s="12" t="s">
        <v>34</v>
      </c>
      <c r="D22" s="1"/>
      <c r="E22" s="24"/>
      <c r="F22" s="24"/>
      <c r="G22" s="24"/>
      <c r="H22" s="24"/>
      <c r="I22" s="24"/>
      <c r="J22" s="1"/>
      <c r="K22" s="1"/>
    </row>
    <row r="23" spans="1:11" x14ac:dyDescent="0.2">
      <c r="A23" s="24"/>
      <c r="B23" s="11" t="s">
        <v>64</v>
      </c>
      <c r="C23" s="12" t="s">
        <v>48</v>
      </c>
      <c r="D23" s="1"/>
      <c r="E23" s="24"/>
      <c r="F23" s="24"/>
      <c r="G23" s="24"/>
      <c r="H23" s="24"/>
      <c r="I23" s="24"/>
      <c r="J23" s="1"/>
      <c r="K23" s="1"/>
    </row>
    <row r="24" spans="1:11" x14ac:dyDescent="0.2">
      <c r="A24" s="24"/>
      <c r="B24" s="11" t="s">
        <v>65</v>
      </c>
      <c r="C24" s="12" t="s">
        <v>30</v>
      </c>
      <c r="D24" s="1"/>
      <c r="E24" s="24"/>
      <c r="F24" s="24"/>
      <c r="G24" s="24"/>
      <c r="H24" s="24"/>
      <c r="I24" s="24"/>
      <c r="J24" s="1"/>
      <c r="K24" s="1"/>
    </row>
    <row r="25" spans="1:11" x14ac:dyDescent="0.2">
      <c r="A25" s="24"/>
      <c r="B25" s="11" t="s">
        <v>66</v>
      </c>
      <c r="C25" s="12" t="s">
        <v>67</v>
      </c>
      <c r="D25" s="1"/>
      <c r="E25" s="24"/>
      <c r="F25" s="24"/>
      <c r="G25" s="24"/>
      <c r="H25" s="24"/>
      <c r="I25" s="24"/>
      <c r="J25" s="1"/>
      <c r="K25" s="1"/>
    </row>
    <row r="26" spans="1:11" x14ac:dyDescent="0.2">
      <c r="A26" s="24"/>
      <c r="B26" s="11" t="s">
        <v>68</v>
      </c>
      <c r="C26" s="12" t="s">
        <v>69</v>
      </c>
      <c r="D26" s="1"/>
      <c r="E26" s="24"/>
      <c r="F26" s="24"/>
      <c r="G26" s="24"/>
      <c r="H26" s="24"/>
      <c r="I26" s="24"/>
      <c r="J26" s="1"/>
      <c r="K26" s="1"/>
    </row>
    <row r="27" spans="1:11" x14ac:dyDescent="0.2">
      <c r="A27" s="24"/>
      <c r="B27" s="11" t="s">
        <v>70</v>
      </c>
      <c r="C27" s="12" t="s">
        <v>37</v>
      </c>
      <c r="D27" s="1"/>
      <c r="E27" s="24"/>
      <c r="F27" s="24"/>
      <c r="G27" s="24"/>
      <c r="H27" s="24"/>
      <c r="I27" s="24"/>
      <c r="J27" s="1"/>
      <c r="K27" s="1"/>
    </row>
    <row r="28" spans="1:11" x14ac:dyDescent="0.2">
      <c r="A28" s="24"/>
      <c r="B28" s="11" t="s">
        <v>71</v>
      </c>
      <c r="C28" s="12" t="s">
        <v>38</v>
      </c>
      <c r="D28" s="1"/>
      <c r="E28" s="24"/>
      <c r="F28" s="24"/>
      <c r="G28" s="24"/>
      <c r="H28" s="24"/>
      <c r="I28" s="24"/>
      <c r="J28" s="1"/>
      <c r="K28" s="1"/>
    </row>
    <row r="29" spans="1:11" x14ac:dyDescent="0.2">
      <c r="A29" s="24"/>
      <c r="B29" s="11" t="s">
        <v>72</v>
      </c>
      <c r="C29" s="12" t="s">
        <v>84</v>
      </c>
      <c r="D29" s="1"/>
      <c r="E29" s="24"/>
      <c r="F29" s="24"/>
      <c r="G29" s="24"/>
      <c r="H29" s="24"/>
      <c r="I29" s="24"/>
      <c r="J29" s="1"/>
      <c r="K29" s="1"/>
    </row>
    <row r="30" spans="1:11" x14ac:dyDescent="0.2">
      <c r="A30" s="24"/>
      <c r="B30" s="13" t="s">
        <v>73</v>
      </c>
      <c r="C30" s="14" t="s">
        <v>78</v>
      </c>
      <c r="D30" s="1"/>
      <c r="E30" s="24"/>
      <c r="F30" s="24"/>
      <c r="G30" s="24"/>
      <c r="H30" s="24"/>
      <c r="I30" s="24"/>
      <c r="J30" s="1"/>
      <c r="K30" s="1"/>
    </row>
    <row r="31" spans="1:11" x14ac:dyDescent="0.2">
      <c r="A31" s="24"/>
      <c r="B31" s="13" t="s">
        <v>76</v>
      </c>
      <c r="C31" s="14" t="s">
        <v>79</v>
      </c>
      <c r="D31" s="1"/>
      <c r="E31" s="24"/>
      <c r="F31" s="24"/>
      <c r="G31" s="24"/>
      <c r="H31" s="24"/>
      <c r="I31" s="24"/>
      <c r="J31" s="1"/>
      <c r="K31" s="1"/>
    </row>
    <row r="32" spans="1:11" x14ac:dyDescent="0.2">
      <c r="A32" s="24"/>
      <c r="B32" s="13" t="s">
        <v>77</v>
      </c>
      <c r="C32" s="12" t="s">
        <v>39</v>
      </c>
      <c r="D32" s="1"/>
      <c r="E32" s="24"/>
      <c r="F32" s="24"/>
      <c r="G32" s="24"/>
      <c r="H32" s="24"/>
      <c r="I32" s="24"/>
      <c r="J32" s="1"/>
      <c r="K32" s="1"/>
    </row>
    <row r="33" spans="1:11" ht="2.25" customHeight="1" x14ac:dyDescent="0.2">
      <c r="A33" s="24"/>
      <c r="B33" s="15"/>
      <c r="C33" s="15"/>
      <c r="D33" s="1"/>
      <c r="E33" s="24"/>
      <c r="F33" s="24"/>
      <c r="G33" s="24"/>
      <c r="H33" s="24"/>
      <c r="I33" s="24"/>
      <c r="J33" s="1"/>
      <c r="K33" s="1"/>
    </row>
    <row r="34" spans="1:11" ht="15" customHeight="1" x14ac:dyDescent="0.2">
      <c r="A34" s="24"/>
      <c r="B34" s="101" t="s">
        <v>74</v>
      </c>
      <c r="C34" s="102"/>
      <c r="D34" s="1"/>
      <c r="E34" s="24"/>
      <c r="F34" s="24"/>
      <c r="G34" s="24"/>
      <c r="H34" s="24"/>
      <c r="I34" s="24"/>
      <c r="J34" s="1"/>
      <c r="K34" s="1"/>
    </row>
    <row r="35" spans="1:11" x14ac:dyDescent="0.2">
      <c r="A35" s="24"/>
      <c r="B35" s="16" t="s">
        <v>75</v>
      </c>
      <c r="C35" s="12" t="s">
        <v>80</v>
      </c>
      <c r="D35" s="1"/>
      <c r="E35" s="24"/>
      <c r="F35" s="24"/>
      <c r="G35" s="24"/>
      <c r="H35" s="24"/>
      <c r="I35" s="24"/>
      <c r="J35" s="1"/>
      <c r="K35" s="1"/>
    </row>
    <row r="36" spans="1:11" x14ac:dyDescent="0.2">
      <c r="A36" s="24"/>
      <c r="B36" s="16" t="s">
        <v>82</v>
      </c>
      <c r="C36" s="12" t="s">
        <v>81</v>
      </c>
      <c r="D36" s="1"/>
      <c r="E36" s="24"/>
      <c r="F36" s="24"/>
      <c r="G36" s="24"/>
      <c r="H36" s="24"/>
      <c r="I36" s="24"/>
      <c r="J36" s="1"/>
      <c r="K36" s="1"/>
    </row>
    <row r="37" spans="1:11" x14ac:dyDescent="0.2">
      <c r="A37" s="24"/>
      <c r="B37" s="16" t="s">
        <v>86</v>
      </c>
      <c r="C37" s="12" t="s">
        <v>87</v>
      </c>
      <c r="D37" s="1"/>
      <c r="E37" s="24"/>
      <c r="F37" s="24"/>
      <c r="G37" s="24"/>
      <c r="H37" s="24"/>
      <c r="I37" s="24"/>
      <c r="J37" s="1"/>
      <c r="K37" s="1"/>
    </row>
    <row r="38" spans="1:11" x14ac:dyDescent="0.2">
      <c r="A38" s="24"/>
      <c r="B38" s="16" t="s">
        <v>88</v>
      </c>
      <c r="C38" s="12" t="s">
        <v>89</v>
      </c>
      <c r="D38" s="1"/>
      <c r="E38" s="24"/>
      <c r="F38" s="24"/>
      <c r="G38" s="24"/>
      <c r="H38" s="24"/>
      <c r="I38" s="24"/>
      <c r="J38" s="1"/>
      <c r="K38" s="1"/>
    </row>
    <row r="39" spans="1:11" x14ac:dyDescent="0.2">
      <c r="A39" s="24"/>
      <c r="B39" s="16" t="s">
        <v>90</v>
      </c>
      <c r="C39" s="12" t="s">
        <v>91</v>
      </c>
      <c r="D39" s="1"/>
      <c r="E39" s="24"/>
      <c r="F39" s="24"/>
      <c r="G39" s="24"/>
      <c r="H39" s="24"/>
      <c r="I39" s="24"/>
      <c r="J39" s="1"/>
      <c r="K39" s="1"/>
    </row>
    <row r="40" spans="1:11" ht="15" customHeight="1" x14ac:dyDescent="0.2">
      <c r="A40" s="24"/>
      <c r="B40" s="101" t="s">
        <v>92</v>
      </c>
      <c r="C40" s="102"/>
      <c r="D40" s="1"/>
      <c r="E40" s="24"/>
      <c r="F40" s="24"/>
      <c r="G40" s="24"/>
      <c r="H40" s="24"/>
      <c r="I40" s="24"/>
      <c r="J40" s="1"/>
      <c r="K40" s="1"/>
    </row>
    <row r="41" spans="1:11" x14ac:dyDescent="0.2">
      <c r="A41" s="24"/>
      <c r="B41" s="16" t="s">
        <v>93</v>
      </c>
      <c r="C41" s="12" t="s">
        <v>94</v>
      </c>
      <c r="D41" s="1"/>
      <c r="E41" s="24"/>
      <c r="F41" s="24"/>
      <c r="G41" s="24"/>
      <c r="H41" s="24"/>
      <c r="I41" s="24"/>
      <c r="J41" s="1"/>
      <c r="K41" s="1"/>
    </row>
    <row r="42" spans="1:11" x14ac:dyDescent="0.2">
      <c r="A42" s="24"/>
      <c r="B42" s="16" t="s">
        <v>126</v>
      </c>
      <c r="C42" s="12" t="s">
        <v>115</v>
      </c>
      <c r="D42" s="1"/>
      <c r="E42" s="24"/>
      <c r="F42" s="24"/>
      <c r="G42" s="24"/>
      <c r="H42" s="24"/>
      <c r="I42" s="24"/>
      <c r="J42" s="1"/>
      <c r="K42" s="1"/>
    </row>
    <row r="43" spans="1:11" ht="15" customHeight="1" x14ac:dyDescent="0.2">
      <c r="A43" s="24"/>
      <c r="B43" s="101" t="s">
        <v>31</v>
      </c>
      <c r="C43" s="102"/>
      <c r="D43" s="1"/>
      <c r="E43" s="24"/>
      <c r="F43" s="24"/>
      <c r="G43" s="24"/>
      <c r="H43" s="24"/>
      <c r="I43" s="24"/>
      <c r="J43" s="1"/>
      <c r="K43" s="1"/>
    </row>
    <row r="44" spans="1:11" x14ac:dyDescent="0.2">
      <c r="A44" s="24"/>
      <c r="B44" s="17" t="s">
        <v>99</v>
      </c>
      <c r="C44" s="18" t="s">
        <v>95</v>
      </c>
      <c r="D44" s="1"/>
      <c r="E44" s="24"/>
      <c r="F44" s="24"/>
      <c r="G44" s="24"/>
      <c r="H44" s="24"/>
      <c r="I44" s="24"/>
      <c r="J44" s="1"/>
      <c r="K44" s="1"/>
    </row>
    <row r="45" spans="1:11" x14ac:dyDescent="0.2">
      <c r="A45" s="24"/>
      <c r="B45" s="19" t="s">
        <v>100</v>
      </c>
      <c r="C45" s="18" t="s">
        <v>96</v>
      </c>
      <c r="D45" s="1"/>
      <c r="E45" s="24"/>
      <c r="F45" s="24"/>
      <c r="G45" s="24"/>
      <c r="H45" s="24"/>
      <c r="I45" s="24"/>
      <c r="J45" s="1"/>
      <c r="K45" s="1"/>
    </row>
    <row r="46" spans="1:11" ht="25.5" x14ac:dyDescent="0.2">
      <c r="A46" s="24"/>
      <c r="B46" s="17" t="s">
        <v>101</v>
      </c>
      <c r="C46" s="18" t="s">
        <v>102</v>
      </c>
      <c r="D46" s="1"/>
      <c r="E46" s="24"/>
      <c r="F46" s="24"/>
      <c r="G46" s="24"/>
      <c r="H46" s="24"/>
      <c r="I46" s="24"/>
      <c r="J46" s="1"/>
      <c r="K46" s="1"/>
    </row>
    <row r="47" spans="1:11" x14ac:dyDescent="0.2">
      <c r="A47" s="24"/>
      <c r="B47" s="19" t="s">
        <v>103</v>
      </c>
      <c r="C47" s="20" t="s">
        <v>133</v>
      </c>
      <c r="D47" s="1"/>
      <c r="E47" s="24"/>
      <c r="F47" s="24"/>
      <c r="G47" s="24"/>
      <c r="H47" s="24"/>
      <c r="I47" s="24"/>
      <c r="J47" s="1"/>
      <c r="K47" s="1"/>
    </row>
    <row r="48" spans="1:11" x14ac:dyDescent="0.2">
      <c r="A48" s="24"/>
      <c r="B48" s="19" t="s">
        <v>104</v>
      </c>
      <c r="C48" s="20" t="s">
        <v>97</v>
      </c>
      <c r="D48" s="1"/>
      <c r="E48" s="24"/>
      <c r="F48" s="24"/>
      <c r="G48" s="24"/>
      <c r="H48" s="24"/>
      <c r="I48" s="24"/>
      <c r="J48" s="1"/>
      <c r="K48" s="1"/>
    </row>
    <row r="49" spans="1:11" x14ac:dyDescent="0.2">
      <c r="A49" s="24"/>
      <c r="B49" s="19" t="s">
        <v>105</v>
      </c>
      <c r="C49" s="20" t="s">
        <v>106</v>
      </c>
      <c r="D49" s="1"/>
      <c r="E49" s="24"/>
      <c r="F49" s="24"/>
      <c r="G49" s="24"/>
      <c r="H49" s="24"/>
      <c r="I49" s="24"/>
      <c r="J49" s="1"/>
      <c r="K49" s="1"/>
    </row>
    <row r="50" spans="1:11" x14ac:dyDescent="0.2">
      <c r="A50" s="24"/>
      <c r="B50" s="19" t="s">
        <v>107</v>
      </c>
      <c r="C50" s="18" t="s">
        <v>108</v>
      </c>
      <c r="D50" s="1"/>
      <c r="E50" s="24"/>
      <c r="F50" s="24"/>
      <c r="G50" s="24"/>
      <c r="H50" s="24"/>
      <c r="I50" s="24"/>
      <c r="J50" s="1"/>
      <c r="K50" s="1"/>
    </row>
    <row r="51" spans="1:11" ht="25.5" x14ac:dyDescent="0.2">
      <c r="A51" s="24"/>
      <c r="B51" s="19" t="s">
        <v>109</v>
      </c>
      <c r="C51" s="18" t="s">
        <v>110</v>
      </c>
      <c r="D51" s="1"/>
      <c r="E51" s="24"/>
      <c r="F51" s="24"/>
      <c r="G51" s="24"/>
      <c r="H51" s="24"/>
      <c r="I51" s="24"/>
      <c r="J51" s="1"/>
      <c r="K51" s="1"/>
    </row>
    <row r="52" spans="1:11" x14ac:dyDescent="0.2">
      <c r="A52" s="24"/>
      <c r="B52" s="19" t="s">
        <v>111</v>
      </c>
      <c r="C52" s="18" t="s">
        <v>112</v>
      </c>
      <c r="D52" s="1"/>
      <c r="E52" s="24"/>
      <c r="F52" s="24"/>
      <c r="G52" s="24"/>
      <c r="H52" s="24"/>
      <c r="I52" s="24"/>
      <c r="J52" s="1"/>
      <c r="K52" s="1"/>
    </row>
    <row r="53" spans="1:11" x14ac:dyDescent="0.2">
      <c r="A53" s="24"/>
      <c r="B53" s="19" t="s">
        <v>113</v>
      </c>
      <c r="C53" s="18" t="s">
        <v>98</v>
      </c>
      <c r="D53" s="1"/>
      <c r="E53" s="24"/>
      <c r="F53" s="24"/>
      <c r="G53" s="24"/>
      <c r="H53" s="24"/>
      <c r="I53" s="24"/>
      <c r="J53" s="1"/>
      <c r="K53" s="1"/>
    </row>
    <row r="54" spans="1:11" x14ac:dyDescent="0.2">
      <c r="A54" s="24"/>
      <c r="B54" s="19" t="s">
        <v>134</v>
      </c>
      <c r="C54" s="21" t="s">
        <v>135</v>
      </c>
      <c r="D54" s="1"/>
      <c r="E54" s="24"/>
      <c r="F54" s="24"/>
      <c r="G54" s="24"/>
      <c r="H54" s="24"/>
      <c r="I54" s="24"/>
      <c r="J54" s="1"/>
      <c r="K54" s="1"/>
    </row>
    <row r="55" spans="1:11" ht="15" customHeight="1" x14ac:dyDescent="0.2">
      <c r="A55" s="24"/>
      <c r="B55" s="99" t="s">
        <v>32</v>
      </c>
      <c r="C55" s="100"/>
      <c r="D55" s="1"/>
      <c r="E55" s="24"/>
      <c r="F55" s="24"/>
      <c r="G55" s="24"/>
      <c r="H55" s="24"/>
      <c r="I55" s="24"/>
      <c r="J55" s="1"/>
      <c r="K55" s="1"/>
    </row>
    <row r="56" spans="1:11" x14ac:dyDescent="0.2">
      <c r="A56" s="24"/>
      <c r="B56" s="19" t="s">
        <v>116</v>
      </c>
      <c r="C56" s="22" t="s">
        <v>124</v>
      </c>
      <c r="D56" s="4"/>
      <c r="E56" s="24"/>
      <c r="F56" s="24"/>
      <c r="G56" s="24"/>
      <c r="H56" s="24"/>
      <c r="I56" s="24"/>
      <c r="J56" s="1"/>
      <c r="K56" s="1"/>
    </row>
    <row r="57" spans="1:11" x14ac:dyDescent="0.2">
      <c r="A57" s="24"/>
      <c r="B57" s="19" t="s">
        <v>117</v>
      </c>
      <c r="C57" s="22" t="s">
        <v>125</v>
      </c>
      <c r="D57" s="4"/>
      <c r="E57" s="24"/>
      <c r="F57" s="24"/>
      <c r="G57" s="24"/>
      <c r="H57" s="24"/>
      <c r="I57" s="24"/>
      <c r="J57" s="1"/>
      <c r="K57" s="1"/>
    </row>
    <row r="58" spans="1:11" x14ac:dyDescent="0.2">
      <c r="A58" s="24"/>
      <c r="B58" s="19" t="s">
        <v>118</v>
      </c>
      <c r="C58" s="23" t="s">
        <v>133</v>
      </c>
      <c r="D58" s="4"/>
      <c r="E58" s="24"/>
      <c r="F58" s="24"/>
      <c r="G58" s="24"/>
      <c r="H58" s="24"/>
      <c r="I58" s="24"/>
      <c r="J58" s="1"/>
      <c r="K58" s="1"/>
    </row>
    <row r="59" spans="1:11" x14ac:dyDescent="0.2">
      <c r="A59" s="24"/>
      <c r="B59" s="19" t="s">
        <v>119</v>
      </c>
      <c r="C59" s="18" t="s">
        <v>127</v>
      </c>
      <c r="D59" s="4"/>
      <c r="E59" s="24"/>
      <c r="F59" s="24"/>
      <c r="G59" s="24"/>
      <c r="H59" s="24"/>
      <c r="I59" s="24"/>
      <c r="J59" s="1"/>
      <c r="K59" s="1"/>
    </row>
    <row r="60" spans="1:11" x14ac:dyDescent="0.2">
      <c r="A60" s="24"/>
      <c r="B60" s="19" t="s">
        <v>120</v>
      </c>
      <c r="C60" s="18" t="s">
        <v>136</v>
      </c>
      <c r="D60" s="3"/>
      <c r="E60" s="24"/>
      <c r="F60" s="24"/>
      <c r="G60" s="24"/>
      <c r="H60" s="24"/>
      <c r="I60" s="24"/>
      <c r="J60" s="1"/>
      <c r="K60" s="1"/>
    </row>
    <row r="61" spans="1:11" x14ac:dyDescent="0.2">
      <c r="A61" s="24"/>
      <c r="B61" s="19" t="s">
        <v>121</v>
      </c>
      <c r="C61" s="18" t="s">
        <v>137</v>
      </c>
      <c r="D61" s="3"/>
      <c r="E61" s="24"/>
      <c r="F61" s="24"/>
      <c r="G61" s="24"/>
      <c r="H61" s="24"/>
      <c r="I61" s="24"/>
      <c r="J61" s="1"/>
      <c r="K61" s="1"/>
    </row>
    <row r="62" spans="1:11" x14ac:dyDescent="0.2">
      <c r="A62" s="24"/>
      <c r="B62" s="19" t="s">
        <v>122</v>
      </c>
      <c r="C62" s="18" t="s">
        <v>138</v>
      </c>
      <c r="D62" s="3"/>
      <c r="E62" s="24"/>
      <c r="F62" s="24"/>
      <c r="G62" s="24"/>
      <c r="H62" s="24"/>
      <c r="I62" s="24"/>
      <c r="J62" s="1"/>
      <c r="K62" s="1"/>
    </row>
    <row r="63" spans="1:11" x14ac:dyDescent="0.2">
      <c r="A63" s="24"/>
      <c r="B63" s="19" t="s">
        <v>123</v>
      </c>
      <c r="C63" s="18" t="s">
        <v>128</v>
      </c>
      <c r="D63" s="3"/>
      <c r="E63" s="24"/>
      <c r="F63" s="24"/>
      <c r="G63" s="24"/>
      <c r="H63" s="24"/>
      <c r="I63" s="24"/>
      <c r="J63" s="1"/>
      <c r="K63" s="1"/>
    </row>
    <row r="64" spans="1:11" x14ac:dyDescent="0.2">
      <c r="A64" s="24"/>
      <c r="B64" s="19" t="s">
        <v>129</v>
      </c>
      <c r="C64" s="20" t="s">
        <v>114</v>
      </c>
      <c r="D64" s="3"/>
      <c r="E64" s="24"/>
      <c r="F64" s="24"/>
      <c r="G64" s="24"/>
      <c r="H64" s="24"/>
      <c r="I64" s="24"/>
      <c r="J64" s="1"/>
      <c r="K64" s="1"/>
    </row>
    <row r="65" spans="1:1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1"/>
      <c r="K65" s="1"/>
    </row>
    <row r="66" spans="1:1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1"/>
      <c r="K66" s="1"/>
    </row>
    <row r="67" spans="1:1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1"/>
      <c r="K67" s="1"/>
    </row>
    <row r="68" spans="1:1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1"/>
      <c r="K68" s="1"/>
    </row>
    <row r="69" spans="1:1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1"/>
      <c r="K69" s="1"/>
    </row>
    <row r="70" spans="1:1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1"/>
      <c r="K70" s="1"/>
    </row>
    <row r="71" spans="1:1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1"/>
      <c r="K71" s="1"/>
    </row>
    <row r="72" spans="1:1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 password="CE89" sheet="1" objects="1" scenarios="1"/>
  <mergeCells count="12">
    <mergeCell ref="F7:I8"/>
    <mergeCell ref="B3:C3"/>
    <mergeCell ref="F9:I9"/>
    <mergeCell ref="F10:I10"/>
    <mergeCell ref="B1:C1"/>
    <mergeCell ref="B55:C55"/>
    <mergeCell ref="B43:C43"/>
    <mergeCell ref="B18:C18"/>
    <mergeCell ref="B2:C2"/>
    <mergeCell ref="B5:C5"/>
    <mergeCell ref="B34:C34"/>
    <mergeCell ref="B40:C40"/>
  </mergeCells>
  <hyperlinks>
    <hyperlink ref="C6" location="'IG-1'!A8" tooltip="IG-1" display="Plantilla de personal autorizada para el ejercicio fiscal 2012."/>
    <hyperlink ref="C7" location="'IG-2'!A9" tooltip="IG-2" display="Modificaciones realizadas a la plantilla de personal."/>
    <hyperlink ref="C13" location="'IG-8'!A7" tooltip="IG-8" display="Relación del parque vehicular."/>
    <hyperlink ref="C8" location="'IG-3'!A6" tooltip="IG-3" display="Altas de personal, autorizado durante el periodo."/>
    <hyperlink ref="C9" location="'IG-4'!A6" tooltip="IG-4" display="Resumen de integración de recursos por transferencias"/>
    <hyperlink ref="C10" location="'IG-5'!B9" tooltip="IG-5" display="Integración detallada de recursos recibidos por transferencias."/>
    <hyperlink ref="C11" location="'IG-6'!A7" tooltip="IG-6" display="Inventario de bienes muebles."/>
    <hyperlink ref="C12" location="'IG-7'!A7" tooltip="AG-7" display="Inventario de bienes inmuebles."/>
    <hyperlink ref="C15" location="'IG-11'!A7" tooltip="IG-11" display="Inventario de bienes muebles e inmuebles recibidos en comodato."/>
    <hyperlink ref="C16" location="'IG-12'!A7" tooltip="IG-12" display="Inventario de bienes muebles e inmuebles entregados en comodato."/>
    <hyperlink ref="C17" location="'IG-13'!A9" tooltip="IG-13" display="Informe del estado que guardan las demandas o juicios de cualquier índole."/>
    <hyperlink ref="C19" location="'IC-14'!C9" tooltip="IC-14" display="Estado de situación financiera"/>
    <hyperlink ref="C20" location="'IC-15'!C12" tooltip="Información Contable- Formato 15" display="Estado de actividades."/>
    <hyperlink ref="C21" location="'IC-16'!C8" tooltip="Información Contable - Formato 16" display="Estado de variaciones en la hacienda pública/patrimonio."/>
    <hyperlink ref="C22" location="'IC-17'!C11" tooltip="Información Contable - Formato 17" display="Estado de flujos de efectivo"/>
    <hyperlink ref="C23" location="'IC-18'!C10" tooltip="Información Contable - Formato 18" display="Estado analítico del activo."/>
    <hyperlink ref="C24" location="'IC-19'!C8" tooltip="Información Contable - Formato 19" display="Relación de cuentas bancarias que se utilicen."/>
    <hyperlink ref="C25" location="'IC-20'!A8" tooltip="Información Contable - Formato 20" display="Informe de folios de ingresos utilizados"/>
    <hyperlink ref="C26" location="'IC-21'!A9" tooltip="Información Contable - Formato 21" display="Base de datos relativa a los recursos obtenidos"/>
    <hyperlink ref="C27" location="'IC-22'!A10" tooltip="información Contable - Formato 22" display="Antigüedad de saldos de las cuentas y documentos por cobrar."/>
    <hyperlink ref="C28" location="'IC-23'!A10" tooltip="Información Contable - Formato 23" display="Antigüedad de saldos de las cuentas y documentos por pagar."/>
    <hyperlink ref="C29" location="'IC-24'!A11" tooltip="Concentrado de nóminas" display="Consentrado de nóminas de sueldos y salarios, del 1° de enero al cierre del periodo."/>
    <hyperlink ref="B30:C30" location="'IC-25'!A8" tooltip="Bitácora de Gts. de combustible" display="IC-25"/>
    <hyperlink ref="B31:C31" location="'IC-26'!A8" tooltip="Bitácora de Mantto. a vehículos" display="IC-26"/>
    <hyperlink ref="B32:C32" location="'IC-27'!A10" tooltip="Repte. de subsidios y apoyos" display="IC-27"/>
    <hyperlink ref="B35:C35" location="'IP-26'!B10" tooltip="Edo. analítico de ingresos presupuestarios" display="IP-26"/>
    <hyperlink ref="B36:C36" location="'IP-27'!B10" tooltip="Comparativo de ingresos " display="IP-27"/>
    <hyperlink ref="B37:C37" location="'IP-26'!B10" tooltip="Edo. analítico de ingresos presupuestarios" display="IP-26"/>
    <hyperlink ref="C37" location="'IP-28'!B9" tooltip="Edo. analítico del Ppto. de Egresos" display="Estado analítico del presupuesto de egresos."/>
    <hyperlink ref="B38:C38" location="'IP-29'!A10" tooltip="Comparativo de Egresos " display="IP-29"/>
    <hyperlink ref="C38" location="'IP-29'!B10" tooltip="Comparativo de Egresos " display="Comparativo de egresos reales a nivel de detalle contra el presupuesto autorizado."/>
    <hyperlink ref="B39:C39" location="'IP-30'!A10" tooltip="Modificaciones Presupuestales de Egresos" display="IP-30"/>
    <hyperlink ref="B41:C41" location="'ID-31'!A10" tooltip="Reporte analítico de la Deuda Pública" display="ID-31"/>
    <hyperlink ref="C46" location="'OP-3'!A10" tooltip="Aplicación de rendimientos bancarios" display="Relación de obras, trabajos y acciones ejecutadas con rendimientos de inversiones y cuentas productivas"/>
    <hyperlink ref="C53" location="'OP-11'!A1" display="Relación de gastos"/>
    <hyperlink ref="C47" location="'OP-4'!A1" display="Relación de ayudas para obras y acciones"/>
    <hyperlink ref="C48" location="'OP-5'!A6" tooltip="Padrón de proveedores de bienes y servicios" display="Padrón de proveedores de bienes y servicios del ejercicio fiscal 2012"/>
    <hyperlink ref="C51" location="'OP-8'!A1" display="Relación de contratos de obra pública, adquisiciones, arrendamiento y prestación de servicios relacionados con la obra pública"/>
    <hyperlink ref="C44" location="'OP-1'!A8" tooltip="Pgm. de inversion anual en obras y acciones" display="Programa de inversión anual en obras y acciones del ejercicio fiscal 2012"/>
    <hyperlink ref="C45" location="'OP-2'!A1" display="Resumen por programa o rubro de inversión."/>
    <hyperlink ref="C49" location="'OP-6'!A1" display="Relación de convenios y/o acuerdos celebrados con otras instancias de gobierno."/>
    <hyperlink ref="C50" location="'OP-7'!A1" display="Reporte de avance físico-financiero de obras y acciones, al cierre del ejercicio."/>
    <hyperlink ref="C52" location="'OP-10'!A1" display="Programa de ejecución de obra, calendarizado y desagregado en etapas"/>
    <hyperlink ref="B45:C45" location="'OP-2'!A8" tooltip="Resumen por programa o rubro de invesión" display="OP-2"/>
    <hyperlink ref="B47:C47" location="'OP-4'!A7" tooltip="Relación de ayudas para obras y acciones" display="OP-4"/>
    <hyperlink ref="B48:C48" location="'OP-5'!A9" tooltip="Padrón de proveedores de bienes y servicios" display="OP-5"/>
    <hyperlink ref="B49:C49" location="'OP-6'!A7" tooltip="Convenios y/o acuerdos con otras instancias de Gobno." display="OP-6"/>
    <hyperlink ref="B50:C50" location="'OP-7'!A6" tooltip="Repte. de avance físico-financiero al cierre del periodo." display="OP-7"/>
    <hyperlink ref="B51:C51" location="'OP-8'!A9" tooltip="Relación de contratos relacionados con la obra pública." display="OP-8"/>
    <hyperlink ref="B52:C52" location="'OP-09'!A12" tooltip="Pgm. de ejecución de obra calendarizado y desagregado." display="OP-9"/>
    <hyperlink ref="B53:C53" location="'OP-10'!A12" tooltip="Relación de gastos" display="OP-10"/>
    <hyperlink ref="C60" location="'AD- 3'!A1" tooltip=" " display="Apéndice estadístico del Fondo de Aportaciones para la Infraestructura Social Municipal"/>
    <hyperlink ref="C64" location="'AD-8'!A1" tooltip="AD-8" display="Resumen de la situación general en obras y acciones."/>
    <hyperlink ref="B60:C60" location="'ED-5'!A6" tooltip="Apendice Estad. del FISM" display="ED-5"/>
    <hyperlink ref="B56:C56" location="'ED-1'!C10" tooltip="Indicadores de gestión" display="ED-1"/>
    <hyperlink ref="B57:C57" location="'ED-2'!E10" tooltip="Cumplimiento de metas de obra pública" display="ED-2"/>
    <hyperlink ref="B42:C42" location="'ID-32'!G9" tooltip="Apéndice estadístico de la Deuda Pública" display="ID-32"/>
    <hyperlink ref="B58:C58" location="'ED-3'!A5" tooltip="Apéndices estadísticos generales" display="ED-3"/>
    <hyperlink ref="C59" location="'AD-6'!A1" tooltip="AD-6" display="Reporte del programa operativo anual del 1º de enero al 31 de diciembre de 2011."/>
    <hyperlink ref="B59:C59" location="'ED-4'!C4" tooltip="Reporte de avance del POA" display="ED-4"/>
    <hyperlink ref="C61" location="'AD- 4'!A1" tooltip="AD-4" display="Apéndice estadístico del  Fondo de Aportaciones para el Fortalecimiento de los Municipios."/>
    <hyperlink ref="B61:C61" location="'ED-6'!A7" tooltip="Apéndice estadístico del FORTAMUN" display="ED-6"/>
    <hyperlink ref="C63" location="'AD-7'!A1" tooltip="AD-7" display="Integración de las obras por tipo de adjudicación del 1°de enero al 31 de diciembre de 2011."/>
    <hyperlink ref="B63:C63" location="'ED-8'!A5" tooltip="Integración de obras por tipo de adjudicación" display="ED-8"/>
    <hyperlink ref="B64" location="'AD-7'!A5" tooltip="Integración de obras por tipo de adjudicación" display="ED-8"/>
    <hyperlink ref="B64:C64" location="'ED-9'!B3" tooltip="Resumen de la situación general en obras y acciones" display="ED-9"/>
    <hyperlink ref="C54" location="'OP-11'!A1" display="Relación de gastos"/>
    <hyperlink ref="B54:C54" location="'OP-15'!A10" tooltip="Relación de gastos indirectos" display="OP-15"/>
    <hyperlink ref="C62" location="'AD- 4'!A1" tooltip="AD-4" display="Apéndice estadístico del  Fondo de Aportaciones para el Fortalecimiento de los Municipios."/>
    <hyperlink ref="B62:C62" location="'ED-7'!A5" tooltip="ED-7" display="ED-7"/>
    <hyperlink ref="C14" location="'IG-7'!A7" tooltip="AG-7" display="Inventario de bienes inmuebles."/>
    <hyperlink ref="B14:C14" location="'IG-9'!A5" tooltip="Inventario de bienes intangibles" display="IG-9"/>
  </hyperlinks>
  <pageMargins left="0.42" right="0.44" top="0.75" bottom="0.75" header="0.3" footer="0.3"/>
  <pageSetup orientation="portrait" horizontalDpi="4294967295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51"/>
  <sheetViews>
    <sheetView showGridLines="0" zoomScaleNormal="100" workbookViewId="0">
      <pane ySplit="6" topLeftCell="A347" activePane="bottomLeft" state="frozen"/>
      <selection pane="bottomLeft" activeCell="D12" sqref="D12"/>
    </sheetView>
  </sheetViews>
  <sheetFormatPr baseColWidth="10" defaultRowHeight="12.75" x14ac:dyDescent="0.2"/>
  <cols>
    <col min="1" max="1" width="30.28515625" style="50" customWidth="1"/>
    <col min="2" max="2" width="51.140625" style="50" customWidth="1"/>
    <col min="3" max="3" width="30.42578125" style="50" customWidth="1"/>
    <col min="4" max="16384" width="11.42578125" style="50"/>
  </cols>
  <sheetData>
    <row r="1" spans="1:8" ht="15.75" customHeight="1" x14ac:dyDescent="0.25">
      <c r="A1" s="55"/>
      <c r="B1" s="55"/>
      <c r="C1" s="72" t="s">
        <v>150</v>
      </c>
      <c r="D1" s="53"/>
      <c r="E1" s="53"/>
      <c r="F1" s="53"/>
      <c r="G1" s="53"/>
      <c r="H1" s="53"/>
    </row>
    <row r="2" spans="1:8" ht="23.25" customHeight="1" x14ac:dyDescent="0.25">
      <c r="A2" s="51" t="s">
        <v>1550</v>
      </c>
      <c r="B2" s="52"/>
      <c r="C2" s="52"/>
      <c r="D2" s="53"/>
      <c r="E2" s="53"/>
      <c r="F2" s="53"/>
      <c r="G2" s="53"/>
      <c r="H2" s="53"/>
    </row>
    <row r="3" spans="1:8" ht="15" x14ac:dyDescent="0.25">
      <c r="A3" s="51" t="s">
        <v>152</v>
      </c>
      <c r="B3" s="51"/>
      <c r="C3" s="51"/>
    </row>
    <row r="4" spans="1:8" ht="12.75" customHeight="1" x14ac:dyDescent="0.25">
      <c r="A4" s="56"/>
      <c r="B4" s="56"/>
      <c r="C4" s="56"/>
    </row>
    <row r="5" spans="1:8" ht="13.5" thickBot="1" x14ac:dyDescent="0.25">
      <c r="A5" s="57" t="s">
        <v>20</v>
      </c>
      <c r="B5" s="57" t="s">
        <v>21</v>
      </c>
      <c r="C5" s="57" t="s">
        <v>16</v>
      </c>
    </row>
    <row r="6" spans="1:8" ht="31.5" customHeight="1" thickBot="1" x14ac:dyDescent="0.25">
      <c r="A6" s="69" t="s">
        <v>148</v>
      </c>
      <c r="B6" s="70" t="s">
        <v>132</v>
      </c>
      <c r="C6" s="70" t="s">
        <v>149</v>
      </c>
    </row>
    <row r="7" spans="1:8" ht="25.5" x14ac:dyDescent="0.2">
      <c r="A7" s="90" t="s">
        <v>1507</v>
      </c>
      <c r="B7" s="74" t="s">
        <v>1508</v>
      </c>
      <c r="C7" s="81">
        <v>15600</v>
      </c>
    </row>
    <row r="8" spans="1:8" ht="38.25" x14ac:dyDescent="0.2">
      <c r="A8" s="90" t="s">
        <v>1507</v>
      </c>
      <c r="B8" s="74" t="s">
        <v>1509</v>
      </c>
      <c r="C8" s="81">
        <v>7153</v>
      </c>
    </row>
    <row r="9" spans="1:8" ht="38.25" x14ac:dyDescent="0.2">
      <c r="A9" s="90" t="s">
        <v>1507</v>
      </c>
      <c r="B9" s="74" t="s">
        <v>1510</v>
      </c>
      <c r="C9" s="81">
        <v>9208</v>
      </c>
    </row>
    <row r="10" spans="1:8" ht="38.25" x14ac:dyDescent="0.2">
      <c r="A10" s="90" t="s">
        <v>1507</v>
      </c>
      <c r="B10" s="74" t="s">
        <v>1511</v>
      </c>
      <c r="C10" s="81">
        <v>18830</v>
      </c>
    </row>
    <row r="11" spans="1:8" ht="38.25" x14ac:dyDescent="0.2">
      <c r="A11" s="90" t="s">
        <v>1507</v>
      </c>
      <c r="B11" s="74" t="s">
        <v>1512</v>
      </c>
      <c r="C11" s="81">
        <v>11812.99</v>
      </c>
    </row>
    <row r="12" spans="1:8" ht="25.5" x14ac:dyDescent="0.2">
      <c r="A12" s="90" t="s">
        <v>1507</v>
      </c>
      <c r="B12" s="74" t="s">
        <v>1513</v>
      </c>
      <c r="C12" s="81">
        <v>5900</v>
      </c>
    </row>
    <row r="13" spans="1:8" ht="25.5" x14ac:dyDescent="0.2">
      <c r="A13" s="90" t="s">
        <v>1507</v>
      </c>
      <c r="B13" s="74" t="s">
        <v>1514</v>
      </c>
      <c r="C13" s="81">
        <v>4462</v>
      </c>
    </row>
    <row r="14" spans="1:8" ht="38.25" x14ac:dyDescent="0.2">
      <c r="A14" s="90" t="s">
        <v>1507</v>
      </c>
      <c r="B14" s="74" t="s">
        <v>1515</v>
      </c>
      <c r="C14" s="81">
        <v>20000</v>
      </c>
    </row>
    <row r="15" spans="1:8" ht="38.25" x14ac:dyDescent="0.2">
      <c r="A15" s="90" t="s">
        <v>1507</v>
      </c>
      <c r="B15" s="74" t="s">
        <v>1516</v>
      </c>
      <c r="C15" s="81">
        <v>9452</v>
      </c>
    </row>
    <row r="16" spans="1:8" x14ac:dyDescent="0.2">
      <c r="A16" s="90" t="s">
        <v>1507</v>
      </c>
      <c r="B16" s="74" t="s">
        <v>1517</v>
      </c>
      <c r="C16" s="81">
        <v>3047</v>
      </c>
    </row>
    <row r="17" spans="1:3" x14ac:dyDescent="0.2">
      <c r="A17" s="90" t="s">
        <v>1507</v>
      </c>
      <c r="B17" s="74" t="s">
        <v>1518</v>
      </c>
      <c r="C17" s="81">
        <v>5792.75</v>
      </c>
    </row>
    <row r="18" spans="1:3" x14ac:dyDescent="0.2">
      <c r="A18" s="90" t="s">
        <v>1507</v>
      </c>
      <c r="B18" s="74" t="s">
        <v>1518</v>
      </c>
      <c r="C18" s="81">
        <v>5792.75</v>
      </c>
    </row>
    <row r="19" spans="1:3" x14ac:dyDescent="0.2">
      <c r="A19" s="90" t="s">
        <v>1507</v>
      </c>
      <c r="B19" s="74" t="s">
        <v>1518</v>
      </c>
      <c r="C19" s="81">
        <v>5792.75</v>
      </c>
    </row>
    <row r="20" spans="1:3" x14ac:dyDescent="0.2">
      <c r="A20" s="90" t="s">
        <v>1507</v>
      </c>
      <c r="B20" s="74" t="s">
        <v>1518</v>
      </c>
      <c r="C20" s="81">
        <v>5792.75</v>
      </c>
    </row>
    <row r="21" spans="1:3" x14ac:dyDescent="0.2">
      <c r="A21" s="90" t="s">
        <v>1507</v>
      </c>
      <c r="B21" s="74" t="s">
        <v>1518</v>
      </c>
      <c r="C21" s="81">
        <v>5792.75</v>
      </c>
    </row>
    <row r="22" spans="1:3" x14ac:dyDescent="0.2">
      <c r="A22" s="90" t="s">
        <v>1507</v>
      </c>
      <c r="B22" s="74" t="s">
        <v>1518</v>
      </c>
      <c r="C22" s="81">
        <v>5792.75</v>
      </c>
    </row>
    <row r="23" spans="1:3" ht="38.25" x14ac:dyDescent="0.2">
      <c r="A23" s="90" t="s">
        <v>1507</v>
      </c>
      <c r="B23" s="74" t="s">
        <v>1519</v>
      </c>
      <c r="C23" s="81">
        <v>13736</v>
      </c>
    </row>
    <row r="24" spans="1:3" ht="38.25" x14ac:dyDescent="0.2">
      <c r="A24" s="90" t="s">
        <v>1507</v>
      </c>
      <c r="B24" s="74" t="s">
        <v>1520</v>
      </c>
      <c r="C24" s="81">
        <v>12000</v>
      </c>
    </row>
    <row r="25" spans="1:3" ht="38.25" x14ac:dyDescent="0.2">
      <c r="A25" s="90" t="s">
        <v>1507</v>
      </c>
      <c r="B25" s="74" t="s">
        <v>1521</v>
      </c>
      <c r="C25" s="81">
        <v>3940</v>
      </c>
    </row>
    <row r="26" spans="1:3" ht="38.25" x14ac:dyDescent="0.2">
      <c r="A26" s="90" t="s">
        <v>1507</v>
      </c>
      <c r="B26" s="74" t="s">
        <v>1522</v>
      </c>
      <c r="C26" s="81">
        <v>1890.4</v>
      </c>
    </row>
    <row r="27" spans="1:3" ht="25.5" x14ac:dyDescent="0.2">
      <c r="A27" s="90" t="s">
        <v>1507</v>
      </c>
      <c r="B27" s="74" t="s">
        <v>1523</v>
      </c>
      <c r="C27" s="81">
        <v>7518.4</v>
      </c>
    </row>
    <row r="28" spans="1:3" ht="25.5" x14ac:dyDescent="0.2">
      <c r="A28" s="90" t="s">
        <v>1507</v>
      </c>
      <c r="B28" s="74" t="s">
        <v>1524</v>
      </c>
      <c r="C28" s="81">
        <v>10200</v>
      </c>
    </row>
    <row r="29" spans="1:3" ht="25.5" x14ac:dyDescent="0.2">
      <c r="A29" s="90" t="s">
        <v>1507</v>
      </c>
      <c r="B29" s="74" t="s">
        <v>1525</v>
      </c>
      <c r="C29" s="81">
        <v>15100</v>
      </c>
    </row>
    <row r="30" spans="1:3" ht="25.5" x14ac:dyDescent="0.2">
      <c r="A30" s="90" t="s">
        <v>1507</v>
      </c>
      <c r="B30" s="74" t="s">
        <v>1525</v>
      </c>
      <c r="C30" s="81">
        <v>15100</v>
      </c>
    </row>
    <row r="31" spans="1:3" ht="25.5" x14ac:dyDescent="0.2">
      <c r="A31" s="90" t="s">
        <v>1507</v>
      </c>
      <c r="B31" s="74" t="s">
        <v>1526</v>
      </c>
      <c r="C31" s="81">
        <v>22000</v>
      </c>
    </row>
    <row r="32" spans="1:3" ht="25.5" x14ac:dyDescent="0.2">
      <c r="A32" s="90" t="s">
        <v>1507</v>
      </c>
      <c r="B32" s="74" t="s">
        <v>1527</v>
      </c>
      <c r="C32" s="81">
        <v>7632.15</v>
      </c>
    </row>
    <row r="33" spans="1:3" ht="38.25" x14ac:dyDescent="0.2">
      <c r="A33" s="90" t="s">
        <v>1507</v>
      </c>
      <c r="B33" s="74" t="s">
        <v>1528</v>
      </c>
      <c r="C33" s="81">
        <v>4454</v>
      </c>
    </row>
    <row r="34" spans="1:3" ht="25.5" x14ac:dyDescent="0.2">
      <c r="A34" s="90" t="s">
        <v>1507</v>
      </c>
      <c r="B34" s="74" t="s">
        <v>1529</v>
      </c>
      <c r="C34" s="81">
        <v>56815.199999999997</v>
      </c>
    </row>
    <row r="35" spans="1:3" ht="38.25" x14ac:dyDescent="0.2">
      <c r="A35" s="90" t="s">
        <v>1507</v>
      </c>
      <c r="B35" s="74" t="s">
        <v>1530</v>
      </c>
      <c r="C35" s="81">
        <v>9114.4</v>
      </c>
    </row>
    <row r="36" spans="1:3" ht="38.25" x14ac:dyDescent="0.2">
      <c r="A36" s="90" t="s">
        <v>1507</v>
      </c>
      <c r="B36" s="74" t="s">
        <v>1531</v>
      </c>
      <c r="C36" s="81">
        <v>55500</v>
      </c>
    </row>
    <row r="37" spans="1:3" ht="38.25" x14ac:dyDescent="0.2">
      <c r="A37" s="90" t="s">
        <v>1507</v>
      </c>
      <c r="B37" s="74" t="s">
        <v>1532</v>
      </c>
      <c r="C37" s="81">
        <v>16681.25</v>
      </c>
    </row>
    <row r="38" spans="1:3" x14ac:dyDescent="0.2">
      <c r="A38" s="90" t="s">
        <v>1507</v>
      </c>
      <c r="B38" s="74" t="s">
        <v>1533</v>
      </c>
      <c r="C38" s="81">
        <v>2850</v>
      </c>
    </row>
    <row r="39" spans="1:3" x14ac:dyDescent="0.2">
      <c r="A39" s="90" t="s">
        <v>1507</v>
      </c>
      <c r="B39" s="74" t="s">
        <v>1534</v>
      </c>
      <c r="C39" s="81">
        <v>4462.5</v>
      </c>
    </row>
    <row r="40" spans="1:3" x14ac:dyDescent="0.2">
      <c r="A40" s="90" t="s">
        <v>1507</v>
      </c>
      <c r="B40" s="74" t="s">
        <v>1535</v>
      </c>
      <c r="C40" s="81">
        <v>13210.43</v>
      </c>
    </row>
    <row r="41" spans="1:3" x14ac:dyDescent="0.2">
      <c r="A41" s="90" t="s">
        <v>1507</v>
      </c>
      <c r="B41" s="74" t="s">
        <v>1536</v>
      </c>
      <c r="C41" s="81">
        <v>5440</v>
      </c>
    </row>
    <row r="42" spans="1:3" x14ac:dyDescent="0.2">
      <c r="A42" s="90" t="s">
        <v>1507</v>
      </c>
      <c r="B42" s="74" t="s">
        <v>1536</v>
      </c>
      <c r="C42" s="81">
        <v>5440</v>
      </c>
    </row>
    <row r="43" spans="1:3" x14ac:dyDescent="0.2">
      <c r="A43" s="90" t="s">
        <v>1507</v>
      </c>
      <c r="B43" s="74" t="s">
        <v>1537</v>
      </c>
      <c r="C43" s="81">
        <v>617.39</v>
      </c>
    </row>
    <row r="44" spans="1:3" x14ac:dyDescent="0.2">
      <c r="A44" s="90" t="s">
        <v>1507</v>
      </c>
      <c r="B44" s="74" t="s">
        <v>1537</v>
      </c>
      <c r="C44" s="81">
        <v>617.39</v>
      </c>
    </row>
    <row r="45" spans="1:3" x14ac:dyDescent="0.2">
      <c r="A45" s="90" t="s">
        <v>1507</v>
      </c>
      <c r="B45" s="74" t="s">
        <v>1538</v>
      </c>
      <c r="C45" s="81">
        <v>323.48</v>
      </c>
    </row>
    <row r="46" spans="1:3" x14ac:dyDescent="0.2">
      <c r="A46" s="90" t="s">
        <v>1507</v>
      </c>
      <c r="B46" s="74" t="s">
        <v>1538</v>
      </c>
      <c r="C46" s="81">
        <v>323.48</v>
      </c>
    </row>
    <row r="47" spans="1:3" x14ac:dyDescent="0.2">
      <c r="A47" s="90" t="s">
        <v>1507</v>
      </c>
      <c r="B47" s="74" t="s">
        <v>1538</v>
      </c>
      <c r="C47" s="81">
        <v>323.48</v>
      </c>
    </row>
    <row r="48" spans="1:3" x14ac:dyDescent="0.2">
      <c r="A48" s="90" t="s">
        <v>1507</v>
      </c>
      <c r="B48" s="74" t="s">
        <v>1539</v>
      </c>
      <c r="C48" s="81">
        <v>8486.9599999999991</v>
      </c>
    </row>
    <row r="49" spans="1:3" x14ac:dyDescent="0.2">
      <c r="A49" s="90" t="s">
        <v>1507</v>
      </c>
      <c r="B49" s="74" t="s">
        <v>1540</v>
      </c>
      <c r="C49" s="81">
        <v>469.57</v>
      </c>
    </row>
    <row r="50" spans="1:3" x14ac:dyDescent="0.2">
      <c r="A50" s="90" t="s">
        <v>1507</v>
      </c>
      <c r="B50" s="74" t="s">
        <v>1541</v>
      </c>
      <c r="C50" s="81">
        <v>2413.04</v>
      </c>
    </row>
    <row r="51" spans="1:3" x14ac:dyDescent="0.2">
      <c r="A51" s="90" t="s">
        <v>1507</v>
      </c>
      <c r="B51" s="74" t="s">
        <v>1542</v>
      </c>
      <c r="C51" s="81">
        <v>5343</v>
      </c>
    </row>
    <row r="52" spans="1:3" x14ac:dyDescent="0.2">
      <c r="A52" s="90" t="s">
        <v>1507</v>
      </c>
      <c r="B52" s="74" t="s">
        <v>1543</v>
      </c>
      <c r="C52" s="81">
        <v>145</v>
      </c>
    </row>
    <row r="53" spans="1:3" x14ac:dyDescent="0.2">
      <c r="A53" s="90" t="s">
        <v>1507</v>
      </c>
      <c r="B53" s="74" t="s">
        <v>1543</v>
      </c>
      <c r="C53" s="81">
        <v>145</v>
      </c>
    </row>
    <row r="54" spans="1:3" x14ac:dyDescent="0.2">
      <c r="A54" s="90" t="s">
        <v>1507</v>
      </c>
      <c r="B54" s="74" t="s">
        <v>1543</v>
      </c>
      <c r="C54" s="81">
        <v>145</v>
      </c>
    </row>
    <row r="55" spans="1:3" x14ac:dyDescent="0.2">
      <c r="A55" s="90" t="s">
        <v>1507</v>
      </c>
      <c r="B55" s="74" t="s">
        <v>1543</v>
      </c>
      <c r="C55" s="81">
        <v>145</v>
      </c>
    </row>
    <row r="56" spans="1:3" x14ac:dyDescent="0.2">
      <c r="A56" s="90" t="s">
        <v>1507</v>
      </c>
      <c r="B56" s="74" t="s">
        <v>1543</v>
      </c>
      <c r="C56" s="81">
        <v>145</v>
      </c>
    </row>
    <row r="57" spans="1:3" x14ac:dyDescent="0.2">
      <c r="A57" s="90" t="s">
        <v>1507</v>
      </c>
      <c r="B57" s="74" t="s">
        <v>1543</v>
      </c>
      <c r="C57" s="81">
        <v>145</v>
      </c>
    </row>
    <row r="58" spans="1:3" x14ac:dyDescent="0.2">
      <c r="A58" s="90" t="s">
        <v>1507</v>
      </c>
      <c r="B58" s="74" t="s">
        <v>1543</v>
      </c>
      <c r="C58" s="81">
        <v>145</v>
      </c>
    </row>
    <row r="59" spans="1:3" x14ac:dyDescent="0.2">
      <c r="A59" s="90" t="s">
        <v>1507</v>
      </c>
      <c r="B59" s="74" t="s">
        <v>1543</v>
      </c>
      <c r="C59" s="81">
        <v>145</v>
      </c>
    </row>
    <row r="60" spans="1:3" x14ac:dyDescent="0.2">
      <c r="A60" s="90" t="s">
        <v>1507</v>
      </c>
      <c r="B60" s="74" t="s">
        <v>1543</v>
      </c>
      <c r="C60" s="81">
        <v>145</v>
      </c>
    </row>
    <row r="61" spans="1:3" x14ac:dyDescent="0.2">
      <c r="A61" s="90" t="s">
        <v>1507</v>
      </c>
      <c r="B61" s="74" t="s">
        <v>1543</v>
      </c>
      <c r="C61" s="81">
        <v>145</v>
      </c>
    </row>
    <row r="62" spans="1:3" x14ac:dyDescent="0.2">
      <c r="A62" s="90" t="s">
        <v>1507</v>
      </c>
      <c r="B62" s="74" t="s">
        <v>1543</v>
      </c>
      <c r="C62" s="81">
        <v>145</v>
      </c>
    </row>
    <row r="63" spans="1:3" x14ac:dyDescent="0.2">
      <c r="A63" s="90" t="s">
        <v>1507</v>
      </c>
      <c r="B63" s="74" t="s">
        <v>1543</v>
      </c>
      <c r="C63" s="81">
        <v>145</v>
      </c>
    </row>
    <row r="64" spans="1:3" x14ac:dyDescent="0.2">
      <c r="A64" s="90" t="s">
        <v>1507</v>
      </c>
      <c r="B64" s="74" t="s">
        <v>1543</v>
      </c>
      <c r="C64" s="81">
        <v>145</v>
      </c>
    </row>
    <row r="65" spans="1:3" x14ac:dyDescent="0.2">
      <c r="A65" s="90" t="s">
        <v>1507</v>
      </c>
      <c r="B65" s="74" t="s">
        <v>1543</v>
      </c>
      <c r="C65" s="81">
        <v>145</v>
      </c>
    </row>
    <row r="66" spans="1:3" x14ac:dyDescent="0.2">
      <c r="A66" s="90" t="s">
        <v>1507</v>
      </c>
      <c r="B66" s="74" t="s">
        <v>1543</v>
      </c>
      <c r="C66" s="81">
        <v>145</v>
      </c>
    </row>
    <row r="67" spans="1:3" x14ac:dyDescent="0.2">
      <c r="A67" s="90" t="s">
        <v>1507</v>
      </c>
      <c r="B67" s="74" t="s">
        <v>1543</v>
      </c>
      <c r="C67" s="81">
        <v>145</v>
      </c>
    </row>
    <row r="68" spans="1:3" x14ac:dyDescent="0.2">
      <c r="A68" s="90" t="s">
        <v>1507</v>
      </c>
      <c r="B68" s="74" t="s">
        <v>1543</v>
      </c>
      <c r="C68" s="81">
        <v>145</v>
      </c>
    </row>
    <row r="69" spans="1:3" x14ac:dyDescent="0.2">
      <c r="A69" s="90" t="s">
        <v>1507</v>
      </c>
      <c r="B69" s="74" t="s">
        <v>1543</v>
      </c>
      <c r="C69" s="81">
        <v>145</v>
      </c>
    </row>
    <row r="70" spans="1:3" x14ac:dyDescent="0.2">
      <c r="A70" s="90" t="s">
        <v>1507</v>
      </c>
      <c r="B70" s="74" t="s">
        <v>1543</v>
      </c>
      <c r="C70" s="81">
        <v>145</v>
      </c>
    </row>
    <row r="71" spans="1:3" x14ac:dyDescent="0.2">
      <c r="A71" s="90" t="s">
        <v>1507</v>
      </c>
      <c r="B71" s="74" t="s">
        <v>1543</v>
      </c>
      <c r="C71" s="81">
        <v>145</v>
      </c>
    </row>
    <row r="72" spans="1:3" x14ac:dyDescent="0.2">
      <c r="A72" s="90" t="s">
        <v>1507</v>
      </c>
      <c r="B72" s="74" t="s">
        <v>1543</v>
      </c>
      <c r="C72" s="81">
        <v>145</v>
      </c>
    </row>
    <row r="73" spans="1:3" x14ac:dyDescent="0.2">
      <c r="A73" s="90" t="s">
        <v>1507</v>
      </c>
      <c r="B73" s="74" t="s">
        <v>1543</v>
      </c>
      <c r="C73" s="81">
        <v>145</v>
      </c>
    </row>
    <row r="74" spans="1:3" x14ac:dyDescent="0.2">
      <c r="A74" s="90" t="s">
        <v>1507</v>
      </c>
      <c r="B74" s="74" t="s">
        <v>1543</v>
      </c>
      <c r="C74" s="81">
        <v>145</v>
      </c>
    </row>
    <row r="75" spans="1:3" x14ac:dyDescent="0.2">
      <c r="A75" s="90" t="s">
        <v>1507</v>
      </c>
      <c r="B75" s="74" t="s">
        <v>1543</v>
      </c>
      <c r="C75" s="81">
        <v>145</v>
      </c>
    </row>
    <row r="76" spans="1:3" x14ac:dyDescent="0.2">
      <c r="A76" s="90" t="s">
        <v>1507</v>
      </c>
      <c r="B76" s="74" t="s">
        <v>1543</v>
      </c>
      <c r="C76" s="81">
        <v>145</v>
      </c>
    </row>
    <row r="77" spans="1:3" x14ac:dyDescent="0.2">
      <c r="A77" s="90" t="s">
        <v>1507</v>
      </c>
      <c r="B77" s="74" t="s">
        <v>1543</v>
      </c>
      <c r="C77" s="81">
        <v>145</v>
      </c>
    </row>
    <row r="78" spans="1:3" x14ac:dyDescent="0.2">
      <c r="A78" s="90" t="s">
        <v>1507</v>
      </c>
      <c r="B78" s="74" t="s">
        <v>1543</v>
      </c>
      <c r="C78" s="81">
        <v>145</v>
      </c>
    </row>
    <row r="79" spans="1:3" x14ac:dyDescent="0.2">
      <c r="A79" s="90" t="s">
        <v>1507</v>
      </c>
      <c r="B79" s="74" t="s">
        <v>1543</v>
      </c>
      <c r="C79" s="81">
        <v>145</v>
      </c>
    </row>
    <row r="80" spans="1:3" x14ac:dyDescent="0.2">
      <c r="A80" s="90" t="s">
        <v>1507</v>
      </c>
      <c r="B80" s="74" t="s">
        <v>1543</v>
      </c>
      <c r="C80" s="81">
        <v>145</v>
      </c>
    </row>
    <row r="81" spans="1:3" x14ac:dyDescent="0.2">
      <c r="A81" s="90" t="s">
        <v>1507</v>
      </c>
      <c r="B81" s="74" t="s">
        <v>1543</v>
      </c>
      <c r="C81" s="81">
        <v>145</v>
      </c>
    </row>
    <row r="82" spans="1:3" x14ac:dyDescent="0.2">
      <c r="A82" s="90" t="s">
        <v>1507</v>
      </c>
      <c r="B82" s="74" t="s">
        <v>1543</v>
      </c>
      <c r="C82" s="81">
        <v>145</v>
      </c>
    </row>
    <row r="83" spans="1:3" x14ac:dyDescent="0.2">
      <c r="A83" s="90" t="s">
        <v>1507</v>
      </c>
      <c r="B83" s="74" t="s">
        <v>1543</v>
      </c>
      <c r="C83" s="81">
        <v>145</v>
      </c>
    </row>
    <row r="84" spans="1:3" x14ac:dyDescent="0.2">
      <c r="A84" s="90" t="s">
        <v>1507</v>
      </c>
      <c r="B84" s="74" t="s">
        <v>1543</v>
      </c>
      <c r="C84" s="81">
        <v>145</v>
      </c>
    </row>
    <row r="85" spans="1:3" x14ac:dyDescent="0.2">
      <c r="A85" s="90" t="s">
        <v>1507</v>
      </c>
      <c r="B85" s="74" t="s">
        <v>1543</v>
      </c>
      <c r="C85" s="81">
        <v>145</v>
      </c>
    </row>
    <row r="86" spans="1:3" x14ac:dyDescent="0.2">
      <c r="A86" s="90" t="s">
        <v>1507</v>
      </c>
      <c r="B86" s="74" t="s">
        <v>1543</v>
      </c>
      <c r="C86" s="81">
        <v>145</v>
      </c>
    </row>
    <row r="87" spans="1:3" x14ac:dyDescent="0.2">
      <c r="A87" s="90" t="s">
        <v>1507</v>
      </c>
      <c r="B87" s="74" t="s">
        <v>1543</v>
      </c>
      <c r="C87" s="81">
        <v>145</v>
      </c>
    </row>
    <row r="88" spans="1:3" x14ac:dyDescent="0.2">
      <c r="A88" s="90" t="s">
        <v>1507</v>
      </c>
      <c r="B88" s="74" t="s">
        <v>1543</v>
      </c>
      <c r="C88" s="81">
        <v>145</v>
      </c>
    </row>
    <row r="89" spans="1:3" x14ac:dyDescent="0.2">
      <c r="A89" s="90" t="s">
        <v>1507</v>
      </c>
      <c r="B89" s="74" t="s">
        <v>1543</v>
      </c>
      <c r="C89" s="81">
        <v>145</v>
      </c>
    </row>
    <row r="90" spans="1:3" x14ac:dyDescent="0.2">
      <c r="A90" s="90" t="s">
        <v>1507</v>
      </c>
      <c r="B90" s="74" t="s">
        <v>1543</v>
      </c>
      <c r="C90" s="81">
        <v>145</v>
      </c>
    </row>
    <row r="91" spans="1:3" x14ac:dyDescent="0.2">
      <c r="A91" s="90" t="s">
        <v>1507</v>
      </c>
      <c r="B91" s="74" t="s">
        <v>1543</v>
      </c>
      <c r="C91" s="81">
        <v>145</v>
      </c>
    </row>
    <row r="92" spans="1:3" x14ac:dyDescent="0.2">
      <c r="A92" s="90" t="s">
        <v>1507</v>
      </c>
      <c r="B92" s="74" t="s">
        <v>1543</v>
      </c>
      <c r="C92" s="81">
        <v>145</v>
      </c>
    </row>
    <row r="93" spans="1:3" x14ac:dyDescent="0.2">
      <c r="A93" s="90" t="s">
        <v>1507</v>
      </c>
      <c r="B93" s="74" t="s">
        <v>1543</v>
      </c>
      <c r="C93" s="81">
        <v>145</v>
      </c>
    </row>
    <row r="94" spans="1:3" x14ac:dyDescent="0.2">
      <c r="A94" s="90" t="s">
        <v>1507</v>
      </c>
      <c r="B94" s="74" t="s">
        <v>1543</v>
      </c>
      <c r="C94" s="81">
        <v>145</v>
      </c>
    </row>
    <row r="95" spans="1:3" x14ac:dyDescent="0.2">
      <c r="A95" s="90" t="s">
        <v>1507</v>
      </c>
      <c r="B95" s="74" t="s">
        <v>1543</v>
      </c>
      <c r="C95" s="81">
        <v>145</v>
      </c>
    </row>
    <row r="96" spans="1:3" x14ac:dyDescent="0.2">
      <c r="A96" s="90" t="s">
        <v>1507</v>
      </c>
      <c r="B96" s="74" t="s">
        <v>1543</v>
      </c>
      <c r="C96" s="81">
        <v>145</v>
      </c>
    </row>
    <row r="97" spans="1:3" x14ac:dyDescent="0.2">
      <c r="A97" s="90" t="s">
        <v>1507</v>
      </c>
      <c r="B97" s="74" t="s">
        <v>1543</v>
      </c>
      <c r="C97" s="81">
        <v>145</v>
      </c>
    </row>
    <row r="98" spans="1:3" x14ac:dyDescent="0.2">
      <c r="A98" s="90" t="s">
        <v>1507</v>
      </c>
      <c r="B98" s="74" t="s">
        <v>1543</v>
      </c>
      <c r="C98" s="81">
        <v>145</v>
      </c>
    </row>
    <row r="99" spans="1:3" x14ac:dyDescent="0.2">
      <c r="A99" s="90" t="s">
        <v>1507</v>
      </c>
      <c r="B99" s="74" t="s">
        <v>1543</v>
      </c>
      <c r="C99" s="81">
        <v>145</v>
      </c>
    </row>
    <row r="100" spans="1:3" x14ac:dyDescent="0.2">
      <c r="A100" s="90" t="s">
        <v>1507</v>
      </c>
      <c r="B100" s="74" t="s">
        <v>1543</v>
      </c>
      <c r="C100" s="81">
        <v>145</v>
      </c>
    </row>
    <row r="101" spans="1:3" x14ac:dyDescent="0.2">
      <c r="A101" s="90" t="s">
        <v>1507</v>
      </c>
      <c r="B101" s="74" t="s">
        <v>1543</v>
      </c>
      <c r="C101" s="81">
        <v>145</v>
      </c>
    </row>
    <row r="102" spans="1:3" x14ac:dyDescent="0.2">
      <c r="A102" s="90" t="s">
        <v>1507</v>
      </c>
      <c r="B102" s="74" t="s">
        <v>1543</v>
      </c>
      <c r="C102" s="81">
        <v>145</v>
      </c>
    </row>
    <row r="103" spans="1:3" x14ac:dyDescent="0.2">
      <c r="A103" s="90" t="s">
        <v>1507</v>
      </c>
      <c r="B103" s="74" t="s">
        <v>1543</v>
      </c>
      <c r="C103" s="81">
        <v>145</v>
      </c>
    </row>
    <row r="104" spans="1:3" x14ac:dyDescent="0.2">
      <c r="A104" s="90" t="s">
        <v>1507</v>
      </c>
      <c r="B104" s="74" t="s">
        <v>1543</v>
      </c>
      <c r="C104" s="81">
        <v>145</v>
      </c>
    </row>
    <row r="105" spans="1:3" x14ac:dyDescent="0.2">
      <c r="A105" s="90" t="s">
        <v>1507</v>
      </c>
      <c r="B105" s="74" t="s">
        <v>1543</v>
      </c>
      <c r="C105" s="81">
        <v>145</v>
      </c>
    </row>
    <row r="106" spans="1:3" x14ac:dyDescent="0.2">
      <c r="A106" s="90" t="s">
        <v>1507</v>
      </c>
      <c r="B106" s="74" t="s">
        <v>1543</v>
      </c>
      <c r="C106" s="81">
        <v>145</v>
      </c>
    </row>
    <row r="107" spans="1:3" x14ac:dyDescent="0.2">
      <c r="A107" s="90" t="s">
        <v>1507</v>
      </c>
      <c r="B107" s="74" t="s">
        <v>1543</v>
      </c>
      <c r="C107" s="81">
        <v>145</v>
      </c>
    </row>
    <row r="108" spans="1:3" x14ac:dyDescent="0.2">
      <c r="A108" s="90" t="s">
        <v>1507</v>
      </c>
      <c r="B108" s="74" t="s">
        <v>1543</v>
      </c>
      <c r="C108" s="81">
        <v>145</v>
      </c>
    </row>
    <row r="109" spans="1:3" x14ac:dyDescent="0.2">
      <c r="A109" s="90" t="s">
        <v>1507</v>
      </c>
      <c r="B109" s="74" t="s">
        <v>1543</v>
      </c>
      <c r="C109" s="81">
        <v>145</v>
      </c>
    </row>
    <row r="110" spans="1:3" x14ac:dyDescent="0.2">
      <c r="A110" s="90" t="s">
        <v>1507</v>
      </c>
      <c r="B110" s="74" t="s">
        <v>1543</v>
      </c>
      <c r="C110" s="81">
        <v>145</v>
      </c>
    </row>
    <row r="111" spans="1:3" x14ac:dyDescent="0.2">
      <c r="A111" s="90" t="s">
        <v>1507</v>
      </c>
      <c r="B111" s="74" t="s">
        <v>1543</v>
      </c>
      <c r="C111" s="81">
        <v>145</v>
      </c>
    </row>
    <row r="112" spans="1:3" x14ac:dyDescent="0.2">
      <c r="A112" s="90" t="s">
        <v>1507</v>
      </c>
      <c r="B112" s="74" t="s">
        <v>1543</v>
      </c>
      <c r="C112" s="81">
        <v>145</v>
      </c>
    </row>
    <row r="113" spans="1:3" x14ac:dyDescent="0.2">
      <c r="A113" s="90" t="s">
        <v>1507</v>
      </c>
      <c r="B113" s="74" t="s">
        <v>1543</v>
      </c>
      <c r="C113" s="81">
        <v>145</v>
      </c>
    </row>
    <row r="114" spans="1:3" x14ac:dyDescent="0.2">
      <c r="A114" s="90" t="s">
        <v>1507</v>
      </c>
      <c r="B114" s="74" t="s">
        <v>1543</v>
      </c>
      <c r="C114" s="81">
        <v>145</v>
      </c>
    </row>
    <row r="115" spans="1:3" x14ac:dyDescent="0.2">
      <c r="A115" s="90" t="s">
        <v>1507</v>
      </c>
      <c r="B115" s="74" t="s">
        <v>1543</v>
      </c>
      <c r="C115" s="81">
        <v>145</v>
      </c>
    </row>
    <row r="116" spans="1:3" x14ac:dyDescent="0.2">
      <c r="A116" s="90" t="s">
        <v>1507</v>
      </c>
      <c r="B116" s="74" t="s">
        <v>1543</v>
      </c>
      <c r="C116" s="81">
        <v>145</v>
      </c>
    </row>
    <row r="117" spans="1:3" x14ac:dyDescent="0.2">
      <c r="A117" s="90" t="s">
        <v>1507</v>
      </c>
      <c r="B117" s="74" t="s">
        <v>1543</v>
      </c>
      <c r="C117" s="81">
        <v>145</v>
      </c>
    </row>
    <row r="118" spans="1:3" x14ac:dyDescent="0.2">
      <c r="A118" s="90" t="s">
        <v>1507</v>
      </c>
      <c r="B118" s="74" t="s">
        <v>1543</v>
      </c>
      <c r="C118" s="81">
        <v>145</v>
      </c>
    </row>
    <row r="119" spans="1:3" x14ac:dyDescent="0.2">
      <c r="A119" s="90" t="s">
        <v>1507</v>
      </c>
      <c r="B119" s="74" t="s">
        <v>1543</v>
      </c>
      <c r="C119" s="81">
        <v>145</v>
      </c>
    </row>
    <row r="120" spans="1:3" x14ac:dyDescent="0.2">
      <c r="A120" s="90" t="s">
        <v>1507</v>
      </c>
      <c r="B120" s="74" t="s">
        <v>1543</v>
      </c>
      <c r="C120" s="81">
        <v>145</v>
      </c>
    </row>
    <row r="121" spans="1:3" x14ac:dyDescent="0.2">
      <c r="A121" s="90" t="s">
        <v>1507</v>
      </c>
      <c r="B121" s="74" t="s">
        <v>1543</v>
      </c>
      <c r="C121" s="81">
        <v>145</v>
      </c>
    </row>
    <row r="122" spans="1:3" x14ac:dyDescent="0.2">
      <c r="A122" s="90" t="s">
        <v>1507</v>
      </c>
      <c r="B122" s="74" t="s">
        <v>1543</v>
      </c>
      <c r="C122" s="81">
        <v>145</v>
      </c>
    </row>
    <row r="123" spans="1:3" x14ac:dyDescent="0.2">
      <c r="A123" s="90" t="s">
        <v>1507</v>
      </c>
      <c r="B123" s="74" t="s">
        <v>1543</v>
      </c>
      <c r="C123" s="81">
        <v>145</v>
      </c>
    </row>
    <row r="124" spans="1:3" x14ac:dyDescent="0.2">
      <c r="A124" s="90" t="s">
        <v>1507</v>
      </c>
      <c r="B124" s="74" t="s">
        <v>1543</v>
      </c>
      <c r="C124" s="81">
        <v>145</v>
      </c>
    </row>
    <row r="125" spans="1:3" x14ac:dyDescent="0.2">
      <c r="A125" s="90" t="s">
        <v>1507</v>
      </c>
      <c r="B125" s="74" t="s">
        <v>1543</v>
      </c>
      <c r="C125" s="81">
        <v>145</v>
      </c>
    </row>
    <row r="126" spans="1:3" x14ac:dyDescent="0.2">
      <c r="A126" s="90" t="s">
        <v>1507</v>
      </c>
      <c r="B126" s="74" t="s">
        <v>1543</v>
      </c>
      <c r="C126" s="81">
        <v>145</v>
      </c>
    </row>
    <row r="127" spans="1:3" x14ac:dyDescent="0.2">
      <c r="A127" s="90" t="s">
        <v>1507</v>
      </c>
      <c r="B127" s="74" t="s">
        <v>1543</v>
      </c>
      <c r="C127" s="81">
        <v>145</v>
      </c>
    </row>
    <row r="128" spans="1:3" x14ac:dyDescent="0.2">
      <c r="A128" s="90" t="s">
        <v>1507</v>
      </c>
      <c r="B128" s="74" t="s">
        <v>1543</v>
      </c>
      <c r="C128" s="81">
        <v>145</v>
      </c>
    </row>
    <row r="129" spans="1:3" x14ac:dyDescent="0.2">
      <c r="A129" s="90" t="s">
        <v>1507</v>
      </c>
      <c r="B129" s="74" t="s">
        <v>1543</v>
      </c>
      <c r="C129" s="81">
        <v>145</v>
      </c>
    </row>
    <row r="130" spans="1:3" x14ac:dyDescent="0.2">
      <c r="A130" s="90" t="s">
        <v>1507</v>
      </c>
      <c r="B130" s="74" t="s">
        <v>1543</v>
      </c>
      <c r="C130" s="81">
        <v>145</v>
      </c>
    </row>
    <row r="131" spans="1:3" x14ac:dyDescent="0.2">
      <c r="A131" s="90" t="s">
        <v>1507</v>
      </c>
      <c r="B131" s="74" t="s">
        <v>1543</v>
      </c>
      <c r="C131" s="81">
        <v>145</v>
      </c>
    </row>
    <row r="132" spans="1:3" x14ac:dyDescent="0.2">
      <c r="A132" s="90" t="s">
        <v>1507</v>
      </c>
      <c r="B132" s="74" t="s">
        <v>1543</v>
      </c>
      <c r="C132" s="81">
        <v>145</v>
      </c>
    </row>
    <row r="133" spans="1:3" x14ac:dyDescent="0.2">
      <c r="A133" s="90" t="s">
        <v>1507</v>
      </c>
      <c r="B133" s="74" t="s">
        <v>1543</v>
      </c>
      <c r="C133" s="81">
        <v>145</v>
      </c>
    </row>
    <row r="134" spans="1:3" x14ac:dyDescent="0.2">
      <c r="A134" s="90" t="s">
        <v>1507</v>
      </c>
      <c r="B134" s="74" t="s">
        <v>1543</v>
      </c>
      <c r="C134" s="81">
        <v>145</v>
      </c>
    </row>
    <row r="135" spans="1:3" x14ac:dyDescent="0.2">
      <c r="A135" s="90" t="s">
        <v>1507</v>
      </c>
      <c r="B135" s="74" t="s">
        <v>1543</v>
      </c>
      <c r="C135" s="81">
        <v>145</v>
      </c>
    </row>
    <row r="136" spans="1:3" x14ac:dyDescent="0.2">
      <c r="A136" s="90" t="s">
        <v>1507</v>
      </c>
      <c r="B136" s="74" t="s">
        <v>1543</v>
      </c>
      <c r="C136" s="81">
        <v>145</v>
      </c>
    </row>
    <row r="137" spans="1:3" x14ac:dyDescent="0.2">
      <c r="A137" s="90" t="s">
        <v>1507</v>
      </c>
      <c r="B137" s="74" t="s">
        <v>1543</v>
      </c>
      <c r="C137" s="81">
        <v>145</v>
      </c>
    </row>
    <row r="138" spans="1:3" x14ac:dyDescent="0.2">
      <c r="A138" s="90" t="s">
        <v>1507</v>
      </c>
      <c r="B138" s="74" t="s">
        <v>1543</v>
      </c>
      <c r="C138" s="81">
        <v>145</v>
      </c>
    </row>
    <row r="139" spans="1:3" x14ac:dyDescent="0.2">
      <c r="A139" s="90" t="s">
        <v>1507</v>
      </c>
      <c r="B139" s="74" t="s">
        <v>1543</v>
      </c>
      <c r="C139" s="81">
        <v>145</v>
      </c>
    </row>
    <row r="140" spans="1:3" x14ac:dyDescent="0.2">
      <c r="A140" s="90" t="s">
        <v>1507</v>
      </c>
      <c r="B140" s="74" t="s">
        <v>1543</v>
      </c>
      <c r="C140" s="81">
        <v>145</v>
      </c>
    </row>
    <row r="141" spans="1:3" x14ac:dyDescent="0.2">
      <c r="A141" s="90" t="s">
        <v>1507</v>
      </c>
      <c r="B141" s="74" t="s">
        <v>1543</v>
      </c>
      <c r="C141" s="81">
        <v>145</v>
      </c>
    </row>
    <row r="142" spans="1:3" x14ac:dyDescent="0.2">
      <c r="A142" s="90" t="s">
        <v>1507</v>
      </c>
      <c r="B142" s="74" t="s">
        <v>1543</v>
      </c>
      <c r="C142" s="81">
        <v>145</v>
      </c>
    </row>
    <row r="143" spans="1:3" x14ac:dyDescent="0.2">
      <c r="A143" s="90" t="s">
        <v>1507</v>
      </c>
      <c r="B143" s="74" t="s">
        <v>1543</v>
      </c>
      <c r="C143" s="81">
        <v>145</v>
      </c>
    </row>
    <row r="144" spans="1:3" x14ac:dyDescent="0.2">
      <c r="A144" s="90" t="s">
        <v>1507</v>
      </c>
      <c r="B144" s="74" t="s">
        <v>1543</v>
      </c>
      <c r="C144" s="81">
        <v>145</v>
      </c>
    </row>
    <row r="145" spans="1:3" x14ac:dyDescent="0.2">
      <c r="A145" s="90" t="s">
        <v>1507</v>
      </c>
      <c r="B145" s="74" t="s">
        <v>1543</v>
      </c>
      <c r="C145" s="81">
        <v>145</v>
      </c>
    </row>
    <row r="146" spans="1:3" x14ac:dyDescent="0.2">
      <c r="A146" s="90" t="s">
        <v>1507</v>
      </c>
      <c r="B146" s="74" t="s">
        <v>1543</v>
      </c>
      <c r="C146" s="81">
        <v>145</v>
      </c>
    </row>
    <row r="147" spans="1:3" x14ac:dyDescent="0.2">
      <c r="A147" s="90" t="s">
        <v>1507</v>
      </c>
      <c r="B147" s="74" t="s">
        <v>1543</v>
      </c>
      <c r="C147" s="81">
        <v>145</v>
      </c>
    </row>
    <row r="148" spans="1:3" x14ac:dyDescent="0.2">
      <c r="A148" s="90" t="s">
        <v>1507</v>
      </c>
      <c r="B148" s="74" t="s">
        <v>1543</v>
      </c>
      <c r="C148" s="81">
        <v>145</v>
      </c>
    </row>
    <row r="149" spans="1:3" x14ac:dyDescent="0.2">
      <c r="A149" s="90" t="s">
        <v>1507</v>
      </c>
      <c r="B149" s="74" t="s">
        <v>1543</v>
      </c>
      <c r="C149" s="81">
        <v>145</v>
      </c>
    </row>
    <row r="150" spans="1:3" x14ac:dyDescent="0.2">
      <c r="A150" s="90" t="s">
        <v>1507</v>
      </c>
      <c r="B150" s="74" t="s">
        <v>1543</v>
      </c>
      <c r="C150" s="81">
        <v>145</v>
      </c>
    </row>
    <row r="151" spans="1:3" x14ac:dyDescent="0.2">
      <c r="A151" s="90" t="s">
        <v>1507</v>
      </c>
      <c r="B151" s="74" t="s">
        <v>1543</v>
      </c>
      <c r="C151" s="81">
        <v>145</v>
      </c>
    </row>
    <row r="152" spans="1:3" x14ac:dyDescent="0.2">
      <c r="A152" s="90" t="s">
        <v>1507</v>
      </c>
      <c r="B152" s="74" t="s">
        <v>1543</v>
      </c>
      <c r="C152" s="81">
        <v>145</v>
      </c>
    </row>
    <row r="153" spans="1:3" x14ac:dyDescent="0.2">
      <c r="A153" s="90" t="s">
        <v>1507</v>
      </c>
      <c r="B153" s="74" t="s">
        <v>1543</v>
      </c>
      <c r="C153" s="81">
        <v>145</v>
      </c>
    </row>
    <row r="154" spans="1:3" x14ac:dyDescent="0.2">
      <c r="A154" s="90" t="s">
        <v>1507</v>
      </c>
      <c r="B154" s="74" t="s">
        <v>1543</v>
      </c>
      <c r="C154" s="81">
        <v>145</v>
      </c>
    </row>
    <row r="155" spans="1:3" x14ac:dyDescent="0.2">
      <c r="A155" s="90" t="s">
        <v>1507</v>
      </c>
      <c r="B155" s="74" t="s">
        <v>1543</v>
      </c>
      <c r="C155" s="81">
        <v>145</v>
      </c>
    </row>
    <row r="156" spans="1:3" x14ac:dyDescent="0.2">
      <c r="A156" s="90" t="s">
        <v>1507</v>
      </c>
      <c r="B156" s="74" t="s">
        <v>1543</v>
      </c>
      <c r="C156" s="81">
        <v>145</v>
      </c>
    </row>
    <row r="157" spans="1:3" x14ac:dyDescent="0.2">
      <c r="A157" s="90" t="s">
        <v>1507</v>
      </c>
      <c r="B157" s="74" t="s">
        <v>1543</v>
      </c>
      <c r="C157" s="81">
        <v>145</v>
      </c>
    </row>
    <row r="158" spans="1:3" x14ac:dyDescent="0.2">
      <c r="A158" s="90" t="s">
        <v>1507</v>
      </c>
      <c r="B158" s="74" t="s">
        <v>1543</v>
      </c>
      <c r="C158" s="81">
        <v>145</v>
      </c>
    </row>
    <row r="159" spans="1:3" x14ac:dyDescent="0.2">
      <c r="A159" s="90" t="s">
        <v>1507</v>
      </c>
      <c r="B159" s="74" t="s">
        <v>1543</v>
      </c>
      <c r="C159" s="81">
        <v>145</v>
      </c>
    </row>
    <row r="160" spans="1:3" x14ac:dyDescent="0.2">
      <c r="A160" s="90" t="s">
        <v>1507</v>
      </c>
      <c r="B160" s="74" t="s">
        <v>1543</v>
      </c>
      <c r="C160" s="81">
        <v>145</v>
      </c>
    </row>
    <row r="161" spans="1:3" x14ac:dyDescent="0.2">
      <c r="A161" s="90" t="s">
        <v>1507</v>
      </c>
      <c r="B161" s="74" t="s">
        <v>1543</v>
      </c>
      <c r="C161" s="81">
        <v>145</v>
      </c>
    </row>
    <row r="162" spans="1:3" x14ac:dyDescent="0.2">
      <c r="A162" s="90" t="s">
        <v>1507</v>
      </c>
      <c r="B162" s="74" t="s">
        <v>1543</v>
      </c>
      <c r="C162" s="81">
        <v>145</v>
      </c>
    </row>
    <row r="163" spans="1:3" x14ac:dyDescent="0.2">
      <c r="A163" s="90" t="s">
        <v>1507</v>
      </c>
      <c r="B163" s="74" t="s">
        <v>1543</v>
      </c>
      <c r="C163" s="81">
        <v>145</v>
      </c>
    </row>
    <row r="164" spans="1:3" x14ac:dyDescent="0.2">
      <c r="A164" s="90" t="s">
        <v>1507</v>
      </c>
      <c r="B164" s="74" t="s">
        <v>1543</v>
      </c>
      <c r="C164" s="81">
        <v>145</v>
      </c>
    </row>
    <row r="165" spans="1:3" x14ac:dyDescent="0.2">
      <c r="A165" s="90" t="s">
        <v>1507</v>
      </c>
      <c r="B165" s="74" t="s">
        <v>1543</v>
      </c>
      <c r="C165" s="81">
        <v>145</v>
      </c>
    </row>
    <row r="166" spans="1:3" x14ac:dyDescent="0.2">
      <c r="A166" s="90" t="s">
        <v>1507</v>
      </c>
      <c r="B166" s="74" t="s">
        <v>1543</v>
      </c>
      <c r="C166" s="81">
        <v>145</v>
      </c>
    </row>
    <row r="167" spans="1:3" x14ac:dyDescent="0.2">
      <c r="A167" s="90" t="s">
        <v>1507</v>
      </c>
      <c r="B167" s="74" t="s">
        <v>1543</v>
      </c>
      <c r="C167" s="81">
        <v>145</v>
      </c>
    </row>
    <row r="168" spans="1:3" x14ac:dyDescent="0.2">
      <c r="A168" s="90" t="s">
        <v>1507</v>
      </c>
      <c r="B168" s="74" t="s">
        <v>1543</v>
      </c>
      <c r="C168" s="81">
        <v>145</v>
      </c>
    </row>
    <row r="169" spans="1:3" x14ac:dyDescent="0.2">
      <c r="A169" s="90" t="s">
        <v>1507</v>
      </c>
      <c r="B169" s="74" t="s">
        <v>1543</v>
      </c>
      <c r="C169" s="81">
        <v>145</v>
      </c>
    </row>
    <row r="170" spans="1:3" x14ac:dyDescent="0.2">
      <c r="A170" s="90" t="s">
        <v>1507</v>
      </c>
      <c r="B170" s="74" t="s">
        <v>1543</v>
      </c>
      <c r="C170" s="81">
        <v>145</v>
      </c>
    </row>
    <row r="171" spans="1:3" x14ac:dyDescent="0.2">
      <c r="A171" s="90" t="s">
        <v>1507</v>
      </c>
      <c r="B171" s="74" t="s">
        <v>1543</v>
      </c>
      <c r="C171" s="81">
        <v>145</v>
      </c>
    </row>
    <row r="172" spans="1:3" x14ac:dyDescent="0.2">
      <c r="A172" s="90" t="s">
        <v>1507</v>
      </c>
      <c r="B172" s="74" t="s">
        <v>1543</v>
      </c>
      <c r="C172" s="81">
        <v>145</v>
      </c>
    </row>
    <row r="173" spans="1:3" x14ac:dyDescent="0.2">
      <c r="A173" s="90" t="s">
        <v>1507</v>
      </c>
      <c r="B173" s="74" t="s">
        <v>1543</v>
      </c>
      <c r="C173" s="81">
        <v>145</v>
      </c>
    </row>
    <row r="174" spans="1:3" x14ac:dyDescent="0.2">
      <c r="A174" s="90" t="s">
        <v>1507</v>
      </c>
      <c r="B174" s="74" t="s">
        <v>1543</v>
      </c>
      <c r="C174" s="81">
        <v>145</v>
      </c>
    </row>
    <row r="175" spans="1:3" x14ac:dyDescent="0.2">
      <c r="A175" s="90" t="s">
        <v>1507</v>
      </c>
      <c r="B175" s="74" t="s">
        <v>1543</v>
      </c>
      <c r="C175" s="81">
        <v>145</v>
      </c>
    </row>
    <row r="176" spans="1:3" x14ac:dyDescent="0.2">
      <c r="A176" s="90" t="s">
        <v>1507</v>
      </c>
      <c r="B176" s="74" t="s">
        <v>1543</v>
      </c>
      <c r="C176" s="81">
        <v>145</v>
      </c>
    </row>
    <row r="177" spans="1:3" x14ac:dyDescent="0.2">
      <c r="A177" s="90" t="s">
        <v>1507</v>
      </c>
      <c r="B177" s="74" t="s">
        <v>1543</v>
      </c>
      <c r="C177" s="81">
        <v>145</v>
      </c>
    </row>
    <row r="178" spans="1:3" x14ac:dyDescent="0.2">
      <c r="A178" s="90" t="s">
        <v>1507</v>
      </c>
      <c r="B178" s="74" t="s">
        <v>1543</v>
      </c>
      <c r="C178" s="81">
        <v>145</v>
      </c>
    </row>
    <row r="179" spans="1:3" x14ac:dyDescent="0.2">
      <c r="A179" s="90" t="s">
        <v>1507</v>
      </c>
      <c r="B179" s="74" t="s">
        <v>1543</v>
      </c>
      <c r="C179" s="81">
        <v>145</v>
      </c>
    </row>
    <row r="180" spans="1:3" x14ac:dyDescent="0.2">
      <c r="A180" s="90" t="s">
        <v>1507</v>
      </c>
      <c r="B180" s="74" t="s">
        <v>1543</v>
      </c>
      <c r="C180" s="81">
        <v>145</v>
      </c>
    </row>
    <row r="181" spans="1:3" x14ac:dyDescent="0.2">
      <c r="A181" s="90" t="s">
        <v>1507</v>
      </c>
      <c r="B181" s="74" t="s">
        <v>1543</v>
      </c>
      <c r="C181" s="81">
        <v>145</v>
      </c>
    </row>
    <row r="182" spans="1:3" x14ac:dyDescent="0.2">
      <c r="A182" s="90" t="s">
        <v>1507</v>
      </c>
      <c r="B182" s="74" t="s">
        <v>1543</v>
      </c>
      <c r="C182" s="81">
        <v>145</v>
      </c>
    </row>
    <row r="183" spans="1:3" x14ac:dyDescent="0.2">
      <c r="A183" s="90" t="s">
        <v>1507</v>
      </c>
      <c r="B183" s="74" t="s">
        <v>1543</v>
      </c>
      <c r="C183" s="81">
        <v>145</v>
      </c>
    </row>
    <row r="184" spans="1:3" x14ac:dyDescent="0.2">
      <c r="A184" s="90" t="s">
        <v>1507</v>
      </c>
      <c r="B184" s="74" t="s">
        <v>1543</v>
      </c>
      <c r="C184" s="81">
        <v>145</v>
      </c>
    </row>
    <row r="185" spans="1:3" x14ac:dyDescent="0.2">
      <c r="A185" s="90" t="s">
        <v>1507</v>
      </c>
      <c r="B185" s="74" t="s">
        <v>1543</v>
      </c>
      <c r="C185" s="81">
        <v>145</v>
      </c>
    </row>
    <row r="186" spans="1:3" x14ac:dyDescent="0.2">
      <c r="A186" s="90" t="s">
        <v>1507</v>
      </c>
      <c r="B186" s="74" t="s">
        <v>1543</v>
      </c>
      <c r="C186" s="81">
        <v>145</v>
      </c>
    </row>
    <row r="187" spans="1:3" x14ac:dyDescent="0.2">
      <c r="A187" s="90" t="s">
        <v>1507</v>
      </c>
      <c r="B187" s="74" t="s">
        <v>1543</v>
      </c>
      <c r="C187" s="81">
        <v>145</v>
      </c>
    </row>
    <row r="188" spans="1:3" x14ac:dyDescent="0.2">
      <c r="A188" s="90" t="s">
        <v>1507</v>
      </c>
      <c r="B188" s="74" t="s">
        <v>1543</v>
      </c>
      <c r="C188" s="81">
        <v>145</v>
      </c>
    </row>
    <row r="189" spans="1:3" x14ac:dyDescent="0.2">
      <c r="A189" s="90" t="s">
        <v>1507</v>
      </c>
      <c r="B189" s="74" t="s">
        <v>1543</v>
      </c>
      <c r="C189" s="81">
        <v>145</v>
      </c>
    </row>
    <row r="190" spans="1:3" x14ac:dyDescent="0.2">
      <c r="A190" s="90" t="s">
        <v>1507</v>
      </c>
      <c r="B190" s="74" t="s">
        <v>1543</v>
      </c>
      <c r="C190" s="81">
        <v>145</v>
      </c>
    </row>
    <row r="191" spans="1:3" x14ac:dyDescent="0.2">
      <c r="A191" s="90" t="s">
        <v>1507</v>
      </c>
      <c r="B191" s="74" t="s">
        <v>1543</v>
      </c>
      <c r="C191" s="81">
        <v>145</v>
      </c>
    </row>
    <row r="192" spans="1:3" x14ac:dyDescent="0.2">
      <c r="A192" s="90" t="s">
        <v>1507</v>
      </c>
      <c r="B192" s="74" t="s">
        <v>1543</v>
      </c>
      <c r="C192" s="81">
        <v>145</v>
      </c>
    </row>
    <row r="193" spans="1:3" x14ac:dyDescent="0.2">
      <c r="A193" s="90" t="s">
        <v>1507</v>
      </c>
      <c r="B193" s="74" t="s">
        <v>1543</v>
      </c>
      <c r="C193" s="81">
        <v>145</v>
      </c>
    </row>
    <row r="194" spans="1:3" x14ac:dyDescent="0.2">
      <c r="A194" s="90" t="s">
        <v>1507</v>
      </c>
      <c r="B194" s="74" t="s">
        <v>1543</v>
      </c>
      <c r="C194" s="81">
        <v>145</v>
      </c>
    </row>
    <row r="195" spans="1:3" x14ac:dyDescent="0.2">
      <c r="A195" s="90" t="s">
        <v>1507</v>
      </c>
      <c r="B195" s="74" t="s">
        <v>1543</v>
      </c>
      <c r="C195" s="81">
        <v>145</v>
      </c>
    </row>
    <row r="196" spans="1:3" x14ac:dyDescent="0.2">
      <c r="A196" s="90" t="s">
        <v>1507</v>
      </c>
      <c r="B196" s="74" t="s">
        <v>1543</v>
      </c>
      <c r="C196" s="81">
        <v>145</v>
      </c>
    </row>
    <row r="197" spans="1:3" x14ac:dyDescent="0.2">
      <c r="A197" s="90" t="s">
        <v>1507</v>
      </c>
      <c r="B197" s="74" t="s">
        <v>1543</v>
      </c>
      <c r="C197" s="81">
        <v>145</v>
      </c>
    </row>
    <row r="198" spans="1:3" x14ac:dyDescent="0.2">
      <c r="A198" s="90" t="s">
        <v>1507</v>
      </c>
      <c r="B198" s="74" t="s">
        <v>1543</v>
      </c>
      <c r="C198" s="81">
        <v>145</v>
      </c>
    </row>
    <row r="199" spans="1:3" x14ac:dyDescent="0.2">
      <c r="A199" s="90" t="s">
        <v>1507</v>
      </c>
      <c r="B199" s="74" t="s">
        <v>1543</v>
      </c>
      <c r="C199" s="81">
        <v>145</v>
      </c>
    </row>
    <row r="200" spans="1:3" x14ac:dyDescent="0.2">
      <c r="A200" s="90" t="s">
        <v>1507</v>
      </c>
      <c r="B200" s="74" t="s">
        <v>1543</v>
      </c>
      <c r="C200" s="81">
        <v>145</v>
      </c>
    </row>
    <row r="201" spans="1:3" x14ac:dyDescent="0.2">
      <c r="A201" s="90" t="s">
        <v>1507</v>
      </c>
      <c r="B201" s="74" t="s">
        <v>1543</v>
      </c>
      <c r="C201" s="81">
        <v>145</v>
      </c>
    </row>
    <row r="202" spans="1:3" x14ac:dyDescent="0.2">
      <c r="A202" s="90" t="s">
        <v>1507</v>
      </c>
      <c r="B202" s="74" t="s">
        <v>1543</v>
      </c>
      <c r="C202" s="81">
        <v>145</v>
      </c>
    </row>
    <row r="203" spans="1:3" x14ac:dyDescent="0.2">
      <c r="A203" s="90" t="s">
        <v>1507</v>
      </c>
      <c r="B203" s="74" t="s">
        <v>1543</v>
      </c>
      <c r="C203" s="81">
        <v>145</v>
      </c>
    </row>
    <row r="204" spans="1:3" x14ac:dyDescent="0.2">
      <c r="A204" s="90" t="s">
        <v>1507</v>
      </c>
      <c r="B204" s="74" t="s">
        <v>1543</v>
      </c>
      <c r="C204" s="81">
        <v>145</v>
      </c>
    </row>
    <row r="205" spans="1:3" x14ac:dyDescent="0.2">
      <c r="A205" s="90" t="s">
        <v>1507</v>
      </c>
      <c r="B205" s="74" t="s">
        <v>1543</v>
      </c>
      <c r="C205" s="81">
        <v>145</v>
      </c>
    </row>
    <row r="206" spans="1:3" x14ac:dyDescent="0.2">
      <c r="A206" s="90" t="s">
        <v>1507</v>
      </c>
      <c r="B206" s="74" t="s">
        <v>1543</v>
      </c>
      <c r="C206" s="81">
        <v>145</v>
      </c>
    </row>
    <row r="207" spans="1:3" x14ac:dyDescent="0.2">
      <c r="A207" s="90" t="s">
        <v>1507</v>
      </c>
      <c r="B207" s="74" t="s">
        <v>1543</v>
      </c>
      <c r="C207" s="81">
        <v>145</v>
      </c>
    </row>
    <row r="208" spans="1:3" x14ac:dyDescent="0.2">
      <c r="A208" s="90" t="s">
        <v>1507</v>
      </c>
      <c r="B208" s="74" t="s">
        <v>1543</v>
      </c>
      <c r="C208" s="81">
        <v>145</v>
      </c>
    </row>
    <row r="209" spans="1:3" x14ac:dyDescent="0.2">
      <c r="A209" s="90" t="s">
        <v>1507</v>
      </c>
      <c r="B209" s="74" t="s">
        <v>1543</v>
      </c>
      <c r="C209" s="81">
        <v>145</v>
      </c>
    </row>
    <row r="210" spans="1:3" x14ac:dyDescent="0.2">
      <c r="A210" s="90" t="s">
        <v>1507</v>
      </c>
      <c r="B210" s="74" t="s">
        <v>1543</v>
      </c>
      <c r="C210" s="81">
        <v>145</v>
      </c>
    </row>
    <row r="211" spans="1:3" x14ac:dyDescent="0.2">
      <c r="A211" s="90" t="s">
        <v>1507</v>
      </c>
      <c r="B211" s="74" t="s">
        <v>1543</v>
      </c>
      <c r="C211" s="81">
        <v>145</v>
      </c>
    </row>
    <row r="212" spans="1:3" x14ac:dyDescent="0.2">
      <c r="A212" s="90" t="s">
        <v>1507</v>
      </c>
      <c r="B212" s="74" t="s">
        <v>1543</v>
      </c>
      <c r="C212" s="81">
        <v>145</v>
      </c>
    </row>
    <row r="213" spans="1:3" x14ac:dyDescent="0.2">
      <c r="A213" s="90" t="s">
        <v>1507</v>
      </c>
      <c r="B213" s="74" t="s">
        <v>1543</v>
      </c>
      <c r="C213" s="81">
        <v>145</v>
      </c>
    </row>
    <row r="214" spans="1:3" x14ac:dyDescent="0.2">
      <c r="A214" s="90" t="s">
        <v>1507</v>
      </c>
      <c r="B214" s="74" t="s">
        <v>1543</v>
      </c>
      <c r="C214" s="81">
        <v>145</v>
      </c>
    </row>
    <row r="215" spans="1:3" x14ac:dyDescent="0.2">
      <c r="A215" s="90" t="s">
        <v>1507</v>
      </c>
      <c r="B215" s="74" t="s">
        <v>1543</v>
      </c>
      <c r="C215" s="81">
        <v>145</v>
      </c>
    </row>
    <row r="216" spans="1:3" x14ac:dyDescent="0.2">
      <c r="A216" s="90" t="s">
        <v>1507</v>
      </c>
      <c r="B216" s="74" t="s">
        <v>1543</v>
      </c>
      <c r="C216" s="81">
        <v>145</v>
      </c>
    </row>
    <row r="217" spans="1:3" x14ac:dyDescent="0.2">
      <c r="A217" s="90" t="s">
        <v>1507</v>
      </c>
      <c r="B217" s="74" t="s">
        <v>1543</v>
      </c>
      <c r="C217" s="81">
        <v>145</v>
      </c>
    </row>
    <row r="218" spans="1:3" x14ac:dyDescent="0.2">
      <c r="A218" s="90" t="s">
        <v>1507</v>
      </c>
      <c r="B218" s="74" t="s">
        <v>1543</v>
      </c>
      <c r="C218" s="81">
        <v>145</v>
      </c>
    </row>
    <row r="219" spans="1:3" x14ac:dyDescent="0.2">
      <c r="A219" s="90" t="s">
        <v>1507</v>
      </c>
      <c r="B219" s="74" t="s">
        <v>1543</v>
      </c>
      <c r="C219" s="81">
        <v>145</v>
      </c>
    </row>
    <row r="220" spans="1:3" x14ac:dyDescent="0.2">
      <c r="A220" s="90" t="s">
        <v>1507</v>
      </c>
      <c r="B220" s="74" t="s">
        <v>1543</v>
      </c>
      <c r="C220" s="81">
        <v>145</v>
      </c>
    </row>
    <row r="221" spans="1:3" x14ac:dyDescent="0.2">
      <c r="A221" s="90" t="s">
        <v>1507</v>
      </c>
      <c r="B221" s="74" t="s">
        <v>1543</v>
      </c>
      <c r="C221" s="81">
        <v>145</v>
      </c>
    </row>
    <row r="222" spans="1:3" x14ac:dyDescent="0.2">
      <c r="A222" s="90" t="s">
        <v>1507</v>
      </c>
      <c r="B222" s="74" t="s">
        <v>1543</v>
      </c>
      <c r="C222" s="81">
        <v>145</v>
      </c>
    </row>
    <row r="223" spans="1:3" x14ac:dyDescent="0.2">
      <c r="A223" s="90" t="s">
        <v>1507</v>
      </c>
      <c r="B223" s="74" t="s">
        <v>1543</v>
      </c>
      <c r="C223" s="81">
        <v>145</v>
      </c>
    </row>
    <row r="224" spans="1:3" x14ac:dyDescent="0.2">
      <c r="A224" s="90" t="s">
        <v>1507</v>
      </c>
      <c r="B224" s="74" t="s">
        <v>1543</v>
      </c>
      <c r="C224" s="81">
        <v>145</v>
      </c>
    </row>
    <row r="225" spans="1:3" x14ac:dyDescent="0.2">
      <c r="A225" s="90" t="s">
        <v>1507</v>
      </c>
      <c r="B225" s="74" t="s">
        <v>1543</v>
      </c>
      <c r="C225" s="81">
        <v>145</v>
      </c>
    </row>
    <row r="226" spans="1:3" x14ac:dyDescent="0.2">
      <c r="A226" s="90" t="s">
        <v>1507</v>
      </c>
      <c r="B226" s="74" t="s">
        <v>1543</v>
      </c>
      <c r="C226" s="81">
        <v>145</v>
      </c>
    </row>
    <row r="227" spans="1:3" x14ac:dyDescent="0.2">
      <c r="A227" s="90" t="s">
        <v>1507</v>
      </c>
      <c r="B227" s="74" t="s">
        <v>1543</v>
      </c>
      <c r="C227" s="81">
        <v>145</v>
      </c>
    </row>
    <row r="228" spans="1:3" x14ac:dyDescent="0.2">
      <c r="A228" s="90" t="s">
        <v>1507</v>
      </c>
      <c r="B228" s="74" t="s">
        <v>1543</v>
      </c>
      <c r="C228" s="81">
        <v>145</v>
      </c>
    </row>
    <row r="229" spans="1:3" x14ac:dyDescent="0.2">
      <c r="A229" s="90" t="s">
        <v>1507</v>
      </c>
      <c r="B229" s="74" t="s">
        <v>1543</v>
      </c>
      <c r="C229" s="81">
        <v>145</v>
      </c>
    </row>
    <row r="230" spans="1:3" x14ac:dyDescent="0.2">
      <c r="A230" s="90" t="s">
        <v>1507</v>
      </c>
      <c r="B230" s="74" t="s">
        <v>1543</v>
      </c>
      <c r="C230" s="81">
        <v>145</v>
      </c>
    </row>
    <row r="231" spans="1:3" x14ac:dyDescent="0.2">
      <c r="A231" s="90" t="s">
        <v>1507</v>
      </c>
      <c r="B231" s="74" t="s">
        <v>1543</v>
      </c>
      <c r="C231" s="81">
        <v>145</v>
      </c>
    </row>
    <row r="232" spans="1:3" x14ac:dyDescent="0.2">
      <c r="A232" s="90" t="s">
        <v>1507</v>
      </c>
      <c r="B232" s="74" t="s">
        <v>1543</v>
      </c>
      <c r="C232" s="81">
        <v>145</v>
      </c>
    </row>
    <row r="233" spans="1:3" x14ac:dyDescent="0.2">
      <c r="A233" s="90" t="s">
        <v>1507</v>
      </c>
      <c r="B233" s="74" t="s">
        <v>1543</v>
      </c>
      <c r="C233" s="81">
        <v>145</v>
      </c>
    </row>
    <row r="234" spans="1:3" x14ac:dyDescent="0.2">
      <c r="A234" s="90" t="s">
        <v>1507</v>
      </c>
      <c r="B234" s="74" t="s">
        <v>1543</v>
      </c>
      <c r="C234" s="81">
        <v>145</v>
      </c>
    </row>
    <row r="235" spans="1:3" x14ac:dyDescent="0.2">
      <c r="A235" s="90" t="s">
        <v>1507</v>
      </c>
      <c r="B235" s="74" t="s">
        <v>1543</v>
      </c>
      <c r="C235" s="81">
        <v>145</v>
      </c>
    </row>
    <row r="236" spans="1:3" x14ac:dyDescent="0.2">
      <c r="A236" s="90" t="s">
        <v>1507</v>
      </c>
      <c r="B236" s="74" t="s">
        <v>1543</v>
      </c>
      <c r="C236" s="81">
        <v>145</v>
      </c>
    </row>
    <row r="237" spans="1:3" x14ac:dyDescent="0.2">
      <c r="A237" s="90" t="s">
        <v>1507</v>
      </c>
      <c r="B237" s="74" t="s">
        <v>1543</v>
      </c>
      <c r="C237" s="81">
        <v>145</v>
      </c>
    </row>
    <row r="238" spans="1:3" x14ac:dyDescent="0.2">
      <c r="A238" s="90" t="s">
        <v>1507</v>
      </c>
      <c r="B238" s="74" t="s">
        <v>1543</v>
      </c>
      <c r="C238" s="81">
        <v>145</v>
      </c>
    </row>
    <row r="239" spans="1:3" x14ac:dyDescent="0.2">
      <c r="A239" s="90" t="s">
        <v>1507</v>
      </c>
      <c r="B239" s="74" t="s">
        <v>1543</v>
      </c>
      <c r="C239" s="81">
        <v>145</v>
      </c>
    </row>
    <row r="240" spans="1:3" x14ac:dyDescent="0.2">
      <c r="A240" s="90" t="s">
        <v>1507</v>
      </c>
      <c r="B240" s="74" t="s">
        <v>1543</v>
      </c>
      <c r="C240" s="81">
        <v>145</v>
      </c>
    </row>
    <row r="241" spans="1:3" x14ac:dyDescent="0.2">
      <c r="A241" s="90" t="s">
        <v>1507</v>
      </c>
      <c r="B241" s="74" t="s">
        <v>1543</v>
      </c>
      <c r="C241" s="81">
        <v>145</v>
      </c>
    </row>
    <row r="242" spans="1:3" x14ac:dyDescent="0.2">
      <c r="A242" s="90" t="s">
        <v>1507</v>
      </c>
      <c r="B242" s="74" t="s">
        <v>1543</v>
      </c>
      <c r="C242" s="81">
        <v>145</v>
      </c>
    </row>
    <row r="243" spans="1:3" x14ac:dyDescent="0.2">
      <c r="A243" s="90" t="s">
        <v>1507</v>
      </c>
      <c r="B243" s="74" t="s">
        <v>1543</v>
      </c>
      <c r="C243" s="81">
        <v>145</v>
      </c>
    </row>
    <row r="244" spans="1:3" x14ac:dyDescent="0.2">
      <c r="A244" s="90" t="s">
        <v>1507</v>
      </c>
      <c r="B244" s="74" t="s">
        <v>1543</v>
      </c>
      <c r="C244" s="81">
        <v>145</v>
      </c>
    </row>
    <row r="245" spans="1:3" x14ac:dyDescent="0.2">
      <c r="A245" s="90" t="s">
        <v>1507</v>
      </c>
      <c r="B245" s="74" t="s">
        <v>1543</v>
      </c>
      <c r="C245" s="81">
        <v>145</v>
      </c>
    </row>
    <row r="246" spans="1:3" x14ac:dyDescent="0.2">
      <c r="A246" s="90" t="s">
        <v>1507</v>
      </c>
      <c r="B246" s="74" t="s">
        <v>1543</v>
      </c>
      <c r="C246" s="81">
        <v>145</v>
      </c>
    </row>
    <row r="247" spans="1:3" x14ac:dyDescent="0.2">
      <c r="A247" s="90" t="s">
        <v>1507</v>
      </c>
      <c r="B247" s="74" t="s">
        <v>1543</v>
      </c>
      <c r="C247" s="81">
        <v>145</v>
      </c>
    </row>
    <row r="248" spans="1:3" x14ac:dyDescent="0.2">
      <c r="A248" s="90" t="s">
        <v>1507</v>
      </c>
      <c r="B248" s="74" t="s">
        <v>1543</v>
      </c>
      <c r="C248" s="81">
        <v>145</v>
      </c>
    </row>
    <row r="249" spans="1:3" x14ac:dyDescent="0.2">
      <c r="A249" s="90" t="s">
        <v>1507</v>
      </c>
      <c r="B249" s="74" t="s">
        <v>1543</v>
      </c>
      <c r="C249" s="81">
        <v>145</v>
      </c>
    </row>
    <row r="250" spans="1:3" x14ac:dyDescent="0.2">
      <c r="A250" s="90" t="s">
        <v>1507</v>
      </c>
      <c r="B250" s="74" t="s">
        <v>1543</v>
      </c>
      <c r="C250" s="81">
        <v>145</v>
      </c>
    </row>
    <row r="251" spans="1:3" x14ac:dyDescent="0.2">
      <c r="A251" s="90" t="s">
        <v>1507</v>
      </c>
      <c r="B251" s="74" t="s">
        <v>1543</v>
      </c>
      <c r="C251" s="81">
        <v>145</v>
      </c>
    </row>
    <row r="252" spans="1:3" x14ac:dyDescent="0.2">
      <c r="A252" s="90" t="s">
        <v>1507</v>
      </c>
      <c r="B252" s="74" t="s">
        <v>1543</v>
      </c>
      <c r="C252" s="81">
        <v>145</v>
      </c>
    </row>
    <row r="253" spans="1:3" x14ac:dyDescent="0.2">
      <c r="A253" s="90" t="s">
        <v>1507</v>
      </c>
      <c r="B253" s="74" t="s">
        <v>1543</v>
      </c>
      <c r="C253" s="81">
        <v>145</v>
      </c>
    </row>
    <row r="254" spans="1:3" x14ac:dyDescent="0.2">
      <c r="A254" s="90" t="s">
        <v>1507</v>
      </c>
      <c r="B254" s="74" t="s">
        <v>1543</v>
      </c>
      <c r="C254" s="81">
        <v>145</v>
      </c>
    </row>
    <row r="255" spans="1:3" x14ac:dyDescent="0.2">
      <c r="A255" s="90" t="s">
        <v>1507</v>
      </c>
      <c r="B255" s="74" t="s">
        <v>1543</v>
      </c>
      <c r="C255" s="81">
        <v>145</v>
      </c>
    </row>
    <row r="256" spans="1:3" x14ac:dyDescent="0.2">
      <c r="A256" s="90" t="s">
        <v>1507</v>
      </c>
      <c r="B256" s="74" t="s">
        <v>1543</v>
      </c>
      <c r="C256" s="81">
        <v>145</v>
      </c>
    </row>
    <row r="257" spans="1:3" x14ac:dyDescent="0.2">
      <c r="A257" s="90" t="s">
        <v>1507</v>
      </c>
      <c r="B257" s="74" t="s">
        <v>1543</v>
      </c>
      <c r="C257" s="81">
        <v>145</v>
      </c>
    </row>
    <row r="258" spans="1:3" x14ac:dyDescent="0.2">
      <c r="A258" s="90" t="s">
        <v>1507</v>
      </c>
      <c r="B258" s="74" t="s">
        <v>1543</v>
      </c>
      <c r="C258" s="81">
        <v>145</v>
      </c>
    </row>
    <row r="259" spans="1:3" x14ac:dyDescent="0.2">
      <c r="A259" s="90" t="s">
        <v>1507</v>
      </c>
      <c r="B259" s="74" t="s">
        <v>1543</v>
      </c>
      <c r="C259" s="81">
        <v>145</v>
      </c>
    </row>
    <row r="260" spans="1:3" x14ac:dyDescent="0.2">
      <c r="A260" s="90" t="s">
        <v>1507</v>
      </c>
      <c r="B260" s="74" t="s">
        <v>1543</v>
      </c>
      <c r="C260" s="81">
        <v>145</v>
      </c>
    </row>
    <row r="261" spans="1:3" x14ac:dyDescent="0.2">
      <c r="A261" s="90" t="s">
        <v>1507</v>
      </c>
      <c r="B261" s="74" t="s">
        <v>1543</v>
      </c>
      <c r="C261" s="81">
        <v>145</v>
      </c>
    </row>
    <row r="262" spans="1:3" x14ac:dyDescent="0.2">
      <c r="A262" s="90" t="s">
        <v>1507</v>
      </c>
      <c r="B262" s="74" t="s">
        <v>1543</v>
      </c>
      <c r="C262" s="81">
        <v>145</v>
      </c>
    </row>
    <row r="263" spans="1:3" x14ac:dyDescent="0.2">
      <c r="A263" s="90" t="s">
        <v>1507</v>
      </c>
      <c r="B263" s="74" t="s">
        <v>1543</v>
      </c>
      <c r="C263" s="81">
        <v>145</v>
      </c>
    </row>
    <row r="264" spans="1:3" x14ac:dyDescent="0.2">
      <c r="A264" s="90" t="s">
        <v>1507</v>
      </c>
      <c r="B264" s="74" t="s">
        <v>1543</v>
      </c>
      <c r="C264" s="81">
        <v>145</v>
      </c>
    </row>
    <row r="265" spans="1:3" x14ac:dyDescent="0.2">
      <c r="A265" s="90" t="s">
        <v>1507</v>
      </c>
      <c r="B265" s="74" t="s">
        <v>1543</v>
      </c>
      <c r="C265" s="81">
        <v>145</v>
      </c>
    </row>
    <row r="266" spans="1:3" x14ac:dyDescent="0.2">
      <c r="A266" s="90" t="s">
        <v>1507</v>
      </c>
      <c r="B266" s="74" t="s">
        <v>1543</v>
      </c>
      <c r="C266" s="81">
        <v>145</v>
      </c>
    </row>
    <row r="267" spans="1:3" x14ac:dyDescent="0.2">
      <c r="A267" s="90" t="s">
        <v>1507</v>
      </c>
      <c r="B267" s="74" t="s">
        <v>1543</v>
      </c>
      <c r="C267" s="81">
        <v>145</v>
      </c>
    </row>
    <row r="268" spans="1:3" x14ac:dyDescent="0.2">
      <c r="A268" s="90" t="s">
        <v>1507</v>
      </c>
      <c r="B268" s="74" t="s">
        <v>1543</v>
      </c>
      <c r="C268" s="81">
        <v>145</v>
      </c>
    </row>
    <row r="269" spans="1:3" x14ac:dyDescent="0.2">
      <c r="A269" s="90" t="s">
        <v>1507</v>
      </c>
      <c r="B269" s="74" t="s">
        <v>1543</v>
      </c>
      <c r="C269" s="81">
        <v>145</v>
      </c>
    </row>
    <row r="270" spans="1:3" x14ac:dyDescent="0.2">
      <c r="A270" s="90" t="s">
        <v>1507</v>
      </c>
      <c r="B270" s="74" t="s">
        <v>1543</v>
      </c>
      <c r="C270" s="81">
        <v>145</v>
      </c>
    </row>
    <row r="271" spans="1:3" x14ac:dyDescent="0.2">
      <c r="A271" s="90" t="s">
        <v>1507</v>
      </c>
      <c r="B271" s="74" t="s">
        <v>1543</v>
      </c>
      <c r="C271" s="81">
        <v>145</v>
      </c>
    </row>
    <row r="272" spans="1:3" x14ac:dyDescent="0.2">
      <c r="A272" s="90" t="s">
        <v>1507</v>
      </c>
      <c r="B272" s="74" t="s">
        <v>1543</v>
      </c>
      <c r="C272" s="81">
        <v>145</v>
      </c>
    </row>
    <row r="273" spans="1:3" x14ac:dyDescent="0.2">
      <c r="A273" s="90" t="s">
        <v>1507</v>
      </c>
      <c r="B273" s="74" t="s">
        <v>1543</v>
      </c>
      <c r="C273" s="81">
        <v>145</v>
      </c>
    </row>
    <row r="274" spans="1:3" x14ac:dyDescent="0.2">
      <c r="A274" s="90" t="s">
        <v>1507</v>
      </c>
      <c r="B274" s="74" t="s">
        <v>1543</v>
      </c>
      <c r="C274" s="81">
        <v>145</v>
      </c>
    </row>
    <row r="275" spans="1:3" x14ac:dyDescent="0.2">
      <c r="A275" s="90" t="s">
        <v>1507</v>
      </c>
      <c r="B275" s="74" t="s">
        <v>1543</v>
      </c>
      <c r="C275" s="81">
        <v>145</v>
      </c>
    </row>
    <row r="276" spans="1:3" x14ac:dyDescent="0.2">
      <c r="A276" s="90" t="s">
        <v>1507</v>
      </c>
      <c r="B276" s="74" t="s">
        <v>1543</v>
      </c>
      <c r="C276" s="81">
        <v>145</v>
      </c>
    </row>
    <row r="277" spans="1:3" x14ac:dyDescent="0.2">
      <c r="A277" s="90" t="s">
        <v>1507</v>
      </c>
      <c r="B277" s="74" t="s">
        <v>1543</v>
      </c>
      <c r="C277" s="81">
        <v>145</v>
      </c>
    </row>
    <row r="278" spans="1:3" x14ac:dyDescent="0.2">
      <c r="A278" s="90" t="s">
        <v>1507</v>
      </c>
      <c r="B278" s="74" t="s">
        <v>1543</v>
      </c>
      <c r="C278" s="81">
        <v>145</v>
      </c>
    </row>
    <row r="279" spans="1:3" x14ac:dyDescent="0.2">
      <c r="A279" s="90" t="s">
        <v>1507</v>
      </c>
      <c r="B279" s="74" t="s">
        <v>1543</v>
      </c>
      <c r="C279" s="81">
        <v>145</v>
      </c>
    </row>
    <row r="280" spans="1:3" x14ac:dyDescent="0.2">
      <c r="A280" s="90" t="s">
        <v>1507</v>
      </c>
      <c r="B280" s="74" t="s">
        <v>1543</v>
      </c>
      <c r="C280" s="81">
        <v>145</v>
      </c>
    </row>
    <row r="281" spans="1:3" x14ac:dyDescent="0.2">
      <c r="A281" s="90" t="s">
        <v>1507</v>
      </c>
      <c r="B281" s="74" t="s">
        <v>1543</v>
      </c>
      <c r="C281" s="81">
        <v>145</v>
      </c>
    </row>
    <row r="282" spans="1:3" x14ac:dyDescent="0.2">
      <c r="A282" s="90" t="s">
        <v>1507</v>
      </c>
      <c r="B282" s="74" t="s">
        <v>1543</v>
      </c>
      <c r="C282" s="81">
        <v>145</v>
      </c>
    </row>
    <row r="283" spans="1:3" x14ac:dyDescent="0.2">
      <c r="A283" s="90" t="s">
        <v>1507</v>
      </c>
      <c r="B283" s="74" t="s">
        <v>1543</v>
      </c>
      <c r="C283" s="81">
        <v>145</v>
      </c>
    </row>
    <row r="284" spans="1:3" x14ac:dyDescent="0.2">
      <c r="A284" s="90" t="s">
        <v>1507</v>
      </c>
      <c r="B284" s="74" t="s">
        <v>1543</v>
      </c>
      <c r="C284" s="81">
        <v>145</v>
      </c>
    </row>
    <row r="285" spans="1:3" x14ac:dyDescent="0.2">
      <c r="A285" s="90" t="s">
        <v>1507</v>
      </c>
      <c r="B285" s="74" t="s">
        <v>1543</v>
      </c>
      <c r="C285" s="81">
        <v>145</v>
      </c>
    </row>
    <row r="286" spans="1:3" x14ac:dyDescent="0.2">
      <c r="A286" s="90" t="s">
        <v>1507</v>
      </c>
      <c r="B286" s="74" t="s">
        <v>1543</v>
      </c>
      <c r="C286" s="81">
        <v>145</v>
      </c>
    </row>
    <row r="287" spans="1:3" x14ac:dyDescent="0.2">
      <c r="A287" s="90" t="s">
        <v>1507</v>
      </c>
      <c r="B287" s="74" t="s">
        <v>1543</v>
      </c>
      <c r="C287" s="81">
        <v>145</v>
      </c>
    </row>
    <row r="288" spans="1:3" x14ac:dyDescent="0.2">
      <c r="A288" s="90" t="s">
        <v>1507</v>
      </c>
      <c r="B288" s="74" t="s">
        <v>1543</v>
      </c>
      <c r="C288" s="81">
        <v>145</v>
      </c>
    </row>
    <row r="289" spans="1:3" x14ac:dyDescent="0.2">
      <c r="A289" s="90" t="s">
        <v>1507</v>
      </c>
      <c r="B289" s="74" t="s">
        <v>1543</v>
      </c>
      <c r="C289" s="81">
        <v>145</v>
      </c>
    </row>
    <row r="290" spans="1:3" x14ac:dyDescent="0.2">
      <c r="A290" s="90" t="s">
        <v>1507</v>
      </c>
      <c r="B290" s="74" t="s">
        <v>1543</v>
      </c>
      <c r="C290" s="81">
        <v>145</v>
      </c>
    </row>
    <row r="291" spans="1:3" x14ac:dyDescent="0.2">
      <c r="A291" s="90" t="s">
        <v>1507</v>
      </c>
      <c r="B291" s="74" t="s">
        <v>1543</v>
      </c>
      <c r="C291" s="81">
        <v>145</v>
      </c>
    </row>
    <row r="292" spans="1:3" x14ac:dyDescent="0.2">
      <c r="A292" s="90" t="s">
        <v>1507</v>
      </c>
      <c r="B292" s="74" t="s">
        <v>1543</v>
      </c>
      <c r="C292" s="81">
        <v>145</v>
      </c>
    </row>
    <row r="293" spans="1:3" x14ac:dyDescent="0.2">
      <c r="A293" s="90" t="s">
        <v>1507</v>
      </c>
      <c r="B293" s="74" t="s">
        <v>1543</v>
      </c>
      <c r="C293" s="81">
        <v>145</v>
      </c>
    </row>
    <row r="294" spans="1:3" x14ac:dyDescent="0.2">
      <c r="A294" s="90" t="s">
        <v>1507</v>
      </c>
      <c r="B294" s="74" t="s">
        <v>1543</v>
      </c>
      <c r="C294" s="81">
        <v>145</v>
      </c>
    </row>
    <row r="295" spans="1:3" x14ac:dyDescent="0.2">
      <c r="A295" s="90" t="s">
        <v>1507</v>
      </c>
      <c r="B295" s="74" t="s">
        <v>1543</v>
      </c>
      <c r="C295" s="81">
        <v>145</v>
      </c>
    </row>
    <row r="296" spans="1:3" x14ac:dyDescent="0.2">
      <c r="A296" s="90" t="s">
        <v>1507</v>
      </c>
      <c r="B296" s="74" t="s">
        <v>1543</v>
      </c>
      <c r="C296" s="81">
        <v>145</v>
      </c>
    </row>
    <row r="297" spans="1:3" x14ac:dyDescent="0.2">
      <c r="A297" s="90" t="s">
        <v>1507</v>
      </c>
      <c r="B297" s="74" t="s">
        <v>1543</v>
      </c>
      <c r="C297" s="81">
        <v>145</v>
      </c>
    </row>
    <row r="298" spans="1:3" x14ac:dyDescent="0.2">
      <c r="A298" s="90" t="s">
        <v>1507</v>
      </c>
      <c r="B298" s="74" t="s">
        <v>1543</v>
      </c>
      <c r="C298" s="81">
        <v>145</v>
      </c>
    </row>
    <row r="299" spans="1:3" x14ac:dyDescent="0.2">
      <c r="A299" s="90" t="s">
        <v>1507</v>
      </c>
      <c r="B299" s="74" t="s">
        <v>1543</v>
      </c>
      <c r="C299" s="81">
        <v>145</v>
      </c>
    </row>
    <row r="300" spans="1:3" x14ac:dyDescent="0.2">
      <c r="A300" s="90" t="s">
        <v>1507</v>
      </c>
      <c r="B300" s="74" t="s">
        <v>1543</v>
      </c>
      <c r="C300" s="81">
        <v>145</v>
      </c>
    </row>
    <row r="301" spans="1:3" x14ac:dyDescent="0.2">
      <c r="A301" s="90" t="s">
        <v>1507</v>
      </c>
      <c r="B301" s="74" t="s">
        <v>1543</v>
      </c>
      <c r="C301" s="81">
        <v>145</v>
      </c>
    </row>
    <row r="302" spans="1:3" x14ac:dyDescent="0.2">
      <c r="A302" s="90" t="s">
        <v>1507</v>
      </c>
      <c r="B302" s="74" t="s">
        <v>1543</v>
      </c>
      <c r="C302" s="81">
        <v>145</v>
      </c>
    </row>
    <row r="303" spans="1:3" x14ac:dyDescent="0.2">
      <c r="A303" s="90" t="s">
        <v>1507</v>
      </c>
      <c r="B303" s="74" t="s">
        <v>1543</v>
      </c>
      <c r="C303" s="81">
        <v>145</v>
      </c>
    </row>
    <row r="304" spans="1:3" x14ac:dyDescent="0.2">
      <c r="A304" s="90" t="s">
        <v>1507</v>
      </c>
      <c r="B304" s="74" t="s">
        <v>1543</v>
      </c>
      <c r="C304" s="81">
        <v>145</v>
      </c>
    </row>
    <row r="305" spans="1:3" x14ac:dyDescent="0.2">
      <c r="A305" s="90" t="s">
        <v>1507</v>
      </c>
      <c r="B305" s="74" t="s">
        <v>1543</v>
      </c>
      <c r="C305" s="81">
        <v>145</v>
      </c>
    </row>
    <row r="306" spans="1:3" x14ac:dyDescent="0.2">
      <c r="A306" s="90" t="s">
        <v>1507</v>
      </c>
      <c r="B306" s="74" t="s">
        <v>1543</v>
      </c>
      <c r="C306" s="81">
        <v>145</v>
      </c>
    </row>
    <row r="307" spans="1:3" x14ac:dyDescent="0.2">
      <c r="A307" s="90" t="s">
        <v>1507</v>
      </c>
      <c r="B307" s="74" t="s">
        <v>1543</v>
      </c>
      <c r="C307" s="81">
        <v>145</v>
      </c>
    </row>
    <row r="308" spans="1:3" x14ac:dyDescent="0.2">
      <c r="A308" s="90" t="s">
        <v>1507</v>
      </c>
      <c r="B308" s="74" t="s">
        <v>1543</v>
      </c>
      <c r="C308" s="81">
        <v>145</v>
      </c>
    </row>
    <row r="309" spans="1:3" x14ac:dyDescent="0.2">
      <c r="A309" s="90" t="s">
        <v>1507</v>
      </c>
      <c r="B309" s="74" t="s">
        <v>1543</v>
      </c>
      <c r="C309" s="81">
        <v>145</v>
      </c>
    </row>
    <row r="310" spans="1:3" x14ac:dyDescent="0.2">
      <c r="A310" s="90" t="s">
        <v>1507</v>
      </c>
      <c r="B310" s="74" t="s">
        <v>1543</v>
      </c>
      <c r="C310" s="81">
        <v>145</v>
      </c>
    </row>
    <row r="311" spans="1:3" x14ac:dyDescent="0.2">
      <c r="A311" s="90" t="s">
        <v>1507</v>
      </c>
      <c r="B311" s="74" t="s">
        <v>1543</v>
      </c>
      <c r="C311" s="81">
        <v>145</v>
      </c>
    </row>
    <row r="312" spans="1:3" x14ac:dyDescent="0.2">
      <c r="A312" s="90" t="s">
        <v>1507</v>
      </c>
      <c r="B312" s="74" t="s">
        <v>1543</v>
      </c>
      <c r="C312" s="81">
        <v>145</v>
      </c>
    </row>
    <row r="313" spans="1:3" x14ac:dyDescent="0.2">
      <c r="A313" s="90" t="s">
        <v>1507</v>
      </c>
      <c r="B313" s="74" t="s">
        <v>1543</v>
      </c>
      <c r="C313" s="81">
        <v>145</v>
      </c>
    </row>
    <row r="314" spans="1:3" x14ac:dyDescent="0.2">
      <c r="A314" s="90" t="s">
        <v>1507</v>
      </c>
      <c r="B314" s="74" t="s">
        <v>1543</v>
      </c>
      <c r="C314" s="81">
        <v>145</v>
      </c>
    </row>
    <row r="315" spans="1:3" x14ac:dyDescent="0.2">
      <c r="A315" s="90" t="s">
        <v>1507</v>
      </c>
      <c r="B315" s="74" t="s">
        <v>1543</v>
      </c>
      <c r="C315" s="81">
        <v>145</v>
      </c>
    </row>
    <row r="316" spans="1:3" x14ac:dyDescent="0.2">
      <c r="A316" s="90" t="s">
        <v>1507</v>
      </c>
      <c r="B316" s="74" t="s">
        <v>1543</v>
      </c>
      <c r="C316" s="81">
        <v>145</v>
      </c>
    </row>
    <row r="317" spans="1:3" x14ac:dyDescent="0.2">
      <c r="A317" s="90" t="s">
        <v>1507</v>
      </c>
      <c r="B317" s="74" t="s">
        <v>1543</v>
      </c>
      <c r="C317" s="81">
        <v>145</v>
      </c>
    </row>
    <row r="318" spans="1:3" x14ac:dyDescent="0.2">
      <c r="A318" s="90" t="s">
        <v>1507</v>
      </c>
      <c r="B318" s="74" t="s">
        <v>1543</v>
      </c>
      <c r="C318" s="81">
        <v>145</v>
      </c>
    </row>
    <row r="319" spans="1:3" x14ac:dyDescent="0.2">
      <c r="A319" s="90" t="s">
        <v>1507</v>
      </c>
      <c r="B319" s="74" t="s">
        <v>1543</v>
      </c>
      <c r="C319" s="81">
        <v>145</v>
      </c>
    </row>
    <row r="320" spans="1:3" x14ac:dyDescent="0.2">
      <c r="A320" s="90" t="s">
        <v>1507</v>
      </c>
      <c r="B320" s="74" t="s">
        <v>1543</v>
      </c>
      <c r="C320" s="81">
        <v>145</v>
      </c>
    </row>
    <row r="321" spans="1:3" x14ac:dyDescent="0.2">
      <c r="A321" s="90" t="s">
        <v>1507</v>
      </c>
      <c r="B321" s="74" t="s">
        <v>1543</v>
      </c>
      <c r="C321" s="81">
        <v>145</v>
      </c>
    </row>
    <row r="322" spans="1:3" x14ac:dyDescent="0.2">
      <c r="A322" s="90" t="s">
        <v>1507</v>
      </c>
      <c r="B322" s="74" t="s">
        <v>1543</v>
      </c>
      <c r="C322" s="81">
        <v>145</v>
      </c>
    </row>
    <row r="323" spans="1:3" x14ac:dyDescent="0.2">
      <c r="A323" s="90" t="s">
        <v>1507</v>
      </c>
      <c r="B323" s="74" t="s">
        <v>1543</v>
      </c>
      <c r="C323" s="81">
        <v>145</v>
      </c>
    </row>
    <row r="324" spans="1:3" x14ac:dyDescent="0.2">
      <c r="A324" s="90" t="s">
        <v>1507</v>
      </c>
      <c r="B324" s="74" t="s">
        <v>1543</v>
      </c>
      <c r="C324" s="81">
        <v>145</v>
      </c>
    </row>
    <row r="325" spans="1:3" x14ac:dyDescent="0.2">
      <c r="A325" s="90" t="s">
        <v>1507</v>
      </c>
      <c r="B325" s="74" t="s">
        <v>1543</v>
      </c>
      <c r="C325" s="81">
        <v>145</v>
      </c>
    </row>
    <row r="326" spans="1:3" x14ac:dyDescent="0.2">
      <c r="A326" s="90" t="s">
        <v>1507</v>
      </c>
      <c r="B326" s="74" t="s">
        <v>1543</v>
      </c>
      <c r="C326" s="81">
        <v>145</v>
      </c>
    </row>
    <row r="327" spans="1:3" x14ac:dyDescent="0.2">
      <c r="A327" s="90" t="s">
        <v>1507</v>
      </c>
      <c r="B327" s="74" t="s">
        <v>1543</v>
      </c>
      <c r="C327" s="81">
        <v>145</v>
      </c>
    </row>
    <row r="328" spans="1:3" x14ac:dyDescent="0.2">
      <c r="A328" s="90" t="s">
        <v>1507</v>
      </c>
      <c r="B328" s="74" t="s">
        <v>1543</v>
      </c>
      <c r="C328" s="81">
        <v>145</v>
      </c>
    </row>
    <row r="329" spans="1:3" x14ac:dyDescent="0.2">
      <c r="A329" s="90" t="s">
        <v>1507</v>
      </c>
      <c r="B329" s="74" t="s">
        <v>1543</v>
      </c>
      <c r="C329" s="81">
        <v>145</v>
      </c>
    </row>
    <row r="330" spans="1:3" x14ac:dyDescent="0.2">
      <c r="A330" s="90" t="s">
        <v>1507</v>
      </c>
      <c r="B330" s="74" t="s">
        <v>1543</v>
      </c>
      <c r="C330" s="81">
        <v>145</v>
      </c>
    </row>
    <row r="331" spans="1:3" x14ac:dyDescent="0.2">
      <c r="A331" s="90" t="s">
        <v>1507</v>
      </c>
      <c r="B331" s="74" t="s">
        <v>1543</v>
      </c>
      <c r="C331" s="81">
        <v>145</v>
      </c>
    </row>
    <row r="332" spans="1:3" x14ac:dyDescent="0.2">
      <c r="A332" s="90" t="s">
        <v>1507</v>
      </c>
      <c r="B332" s="74" t="s">
        <v>1543</v>
      </c>
      <c r="C332" s="81">
        <v>145</v>
      </c>
    </row>
    <row r="333" spans="1:3" x14ac:dyDescent="0.2">
      <c r="A333" s="90" t="s">
        <v>1507</v>
      </c>
      <c r="B333" s="74" t="s">
        <v>1543</v>
      </c>
      <c r="C333" s="81">
        <v>145</v>
      </c>
    </row>
    <row r="334" spans="1:3" x14ac:dyDescent="0.2">
      <c r="A334" s="90" t="s">
        <v>1507</v>
      </c>
      <c r="B334" s="74" t="s">
        <v>1543</v>
      </c>
      <c r="C334" s="81">
        <v>145</v>
      </c>
    </row>
    <row r="335" spans="1:3" x14ac:dyDescent="0.2">
      <c r="A335" s="90" t="s">
        <v>1507</v>
      </c>
      <c r="B335" s="74" t="s">
        <v>1543</v>
      </c>
      <c r="C335" s="81">
        <v>145</v>
      </c>
    </row>
    <row r="336" spans="1:3" x14ac:dyDescent="0.2">
      <c r="A336" s="90" t="s">
        <v>1507</v>
      </c>
      <c r="B336" s="74" t="s">
        <v>1543</v>
      </c>
      <c r="C336" s="81">
        <v>145</v>
      </c>
    </row>
    <row r="337" spans="1:3" x14ac:dyDescent="0.2">
      <c r="A337" s="90" t="s">
        <v>1507</v>
      </c>
      <c r="B337" s="74" t="s">
        <v>1543</v>
      </c>
      <c r="C337" s="81">
        <v>145</v>
      </c>
    </row>
    <row r="338" spans="1:3" x14ac:dyDescent="0.2">
      <c r="A338" s="90" t="s">
        <v>1507</v>
      </c>
      <c r="B338" s="74" t="s">
        <v>1543</v>
      </c>
      <c r="C338" s="81">
        <v>145</v>
      </c>
    </row>
    <row r="339" spans="1:3" x14ac:dyDescent="0.2">
      <c r="A339" s="90" t="s">
        <v>1507</v>
      </c>
      <c r="B339" s="74" t="s">
        <v>1543</v>
      </c>
      <c r="C339" s="81">
        <v>145</v>
      </c>
    </row>
    <row r="340" spans="1:3" x14ac:dyDescent="0.2">
      <c r="A340" s="90" t="s">
        <v>1507</v>
      </c>
      <c r="B340" s="74" t="s">
        <v>1543</v>
      </c>
      <c r="C340" s="81">
        <v>145</v>
      </c>
    </row>
    <row r="341" spans="1:3" x14ac:dyDescent="0.2">
      <c r="A341" s="90" t="s">
        <v>1507</v>
      </c>
      <c r="B341" s="74" t="s">
        <v>1543</v>
      </c>
      <c r="C341" s="81">
        <v>145</v>
      </c>
    </row>
    <row r="342" spans="1:3" x14ac:dyDescent="0.2">
      <c r="A342" s="90" t="s">
        <v>1507</v>
      </c>
      <c r="B342" s="74" t="s">
        <v>1543</v>
      </c>
      <c r="C342" s="81">
        <v>145</v>
      </c>
    </row>
    <row r="343" spans="1:3" x14ac:dyDescent="0.2">
      <c r="A343" s="90" t="s">
        <v>1507</v>
      </c>
      <c r="B343" s="74" t="s">
        <v>1543</v>
      </c>
      <c r="C343" s="81">
        <v>145</v>
      </c>
    </row>
    <row r="344" spans="1:3" x14ac:dyDescent="0.2">
      <c r="A344" s="90" t="s">
        <v>1507</v>
      </c>
      <c r="B344" s="74" t="s">
        <v>1543</v>
      </c>
      <c r="C344" s="81">
        <v>145</v>
      </c>
    </row>
    <row r="345" spans="1:3" x14ac:dyDescent="0.2">
      <c r="A345" s="90" t="s">
        <v>1507</v>
      </c>
      <c r="B345" s="74" t="s">
        <v>1543</v>
      </c>
      <c r="C345" s="81">
        <v>145</v>
      </c>
    </row>
    <row r="346" spans="1:3" x14ac:dyDescent="0.2">
      <c r="A346" s="90" t="s">
        <v>1507</v>
      </c>
      <c r="B346" s="74" t="s">
        <v>1543</v>
      </c>
      <c r="C346" s="81">
        <v>145</v>
      </c>
    </row>
    <row r="347" spans="1:3" x14ac:dyDescent="0.2">
      <c r="A347" s="90" t="s">
        <v>1507</v>
      </c>
      <c r="B347" s="74" t="s">
        <v>1543</v>
      </c>
      <c r="C347" s="81">
        <v>145</v>
      </c>
    </row>
    <row r="348" spans="1:3" x14ac:dyDescent="0.2">
      <c r="A348" s="90" t="s">
        <v>1507</v>
      </c>
      <c r="B348" s="74" t="s">
        <v>1543</v>
      </c>
      <c r="C348" s="81">
        <v>145</v>
      </c>
    </row>
    <row r="349" spans="1:3" x14ac:dyDescent="0.2">
      <c r="A349" s="90" t="s">
        <v>1507</v>
      </c>
      <c r="B349" s="74" t="s">
        <v>1543</v>
      </c>
      <c r="C349" s="81">
        <v>145</v>
      </c>
    </row>
    <row r="350" spans="1:3" x14ac:dyDescent="0.2">
      <c r="A350" s="90" t="s">
        <v>1507</v>
      </c>
      <c r="B350" s="74" t="s">
        <v>1543</v>
      </c>
      <c r="C350" s="81">
        <v>145</v>
      </c>
    </row>
    <row r="351" spans="1:3" x14ac:dyDescent="0.2">
      <c r="A351" s="90" t="s">
        <v>1507</v>
      </c>
      <c r="B351" s="74" t="s">
        <v>1543</v>
      </c>
      <c r="C351" s="81">
        <v>145</v>
      </c>
    </row>
    <row r="352" spans="1:3" x14ac:dyDescent="0.2">
      <c r="A352" s="90" t="s">
        <v>1507</v>
      </c>
      <c r="B352" s="74" t="s">
        <v>1544</v>
      </c>
      <c r="C352" s="81">
        <v>1100</v>
      </c>
    </row>
    <row r="353" spans="1:3" x14ac:dyDescent="0.2">
      <c r="A353" s="90" t="s">
        <v>1507</v>
      </c>
      <c r="B353" s="74" t="s">
        <v>1544</v>
      </c>
      <c r="C353" s="81">
        <v>1100</v>
      </c>
    </row>
    <row r="354" spans="1:3" x14ac:dyDescent="0.2">
      <c r="A354" s="90" t="s">
        <v>1507</v>
      </c>
      <c r="B354" s="74" t="s">
        <v>1544</v>
      </c>
      <c r="C354" s="81">
        <v>1100</v>
      </c>
    </row>
    <row r="355" spans="1:3" x14ac:dyDescent="0.2">
      <c r="A355" s="90" t="s">
        <v>1507</v>
      </c>
      <c r="B355" s="74" t="s">
        <v>1544</v>
      </c>
      <c r="C355" s="81">
        <v>1100</v>
      </c>
    </row>
    <row r="356" spans="1:3" x14ac:dyDescent="0.2">
      <c r="A356" s="90" t="s">
        <v>1507</v>
      </c>
      <c r="B356" s="74" t="s">
        <v>1544</v>
      </c>
      <c r="C356" s="81">
        <v>1100</v>
      </c>
    </row>
    <row r="357" spans="1:3" x14ac:dyDescent="0.2">
      <c r="A357" s="90" t="s">
        <v>1507</v>
      </c>
      <c r="B357" s="74" t="s">
        <v>1544</v>
      </c>
      <c r="C357" s="81">
        <v>1100</v>
      </c>
    </row>
    <row r="358" spans="1:3" x14ac:dyDescent="0.2">
      <c r="A358" s="90" t="s">
        <v>1507</v>
      </c>
      <c r="B358" s="74" t="s">
        <v>1544</v>
      </c>
      <c r="C358" s="81">
        <v>1100</v>
      </c>
    </row>
    <row r="359" spans="1:3" x14ac:dyDescent="0.2">
      <c r="A359" s="90" t="s">
        <v>1507</v>
      </c>
      <c r="B359" s="74" t="s">
        <v>1544</v>
      </c>
      <c r="C359" s="81">
        <v>1100</v>
      </c>
    </row>
    <row r="360" spans="1:3" x14ac:dyDescent="0.2">
      <c r="A360" s="90" t="s">
        <v>1507</v>
      </c>
      <c r="B360" s="74" t="s">
        <v>1544</v>
      </c>
      <c r="C360" s="81">
        <v>1100</v>
      </c>
    </row>
    <row r="361" spans="1:3" x14ac:dyDescent="0.2">
      <c r="A361" s="90" t="s">
        <v>1507</v>
      </c>
      <c r="B361" s="74" t="s">
        <v>1544</v>
      </c>
      <c r="C361" s="81">
        <v>1100</v>
      </c>
    </row>
    <row r="362" spans="1:3" x14ac:dyDescent="0.2">
      <c r="A362" s="90" t="s">
        <v>1507</v>
      </c>
      <c r="B362" s="74" t="s">
        <v>1544</v>
      </c>
      <c r="C362" s="81">
        <v>1100</v>
      </c>
    </row>
    <row r="363" spans="1:3" x14ac:dyDescent="0.2">
      <c r="A363" s="90" t="s">
        <v>1507</v>
      </c>
      <c r="B363" s="74" t="s">
        <v>1544</v>
      </c>
      <c r="C363" s="81">
        <v>1100</v>
      </c>
    </row>
    <row r="364" spans="1:3" x14ac:dyDescent="0.2">
      <c r="A364" s="90" t="s">
        <v>1507</v>
      </c>
      <c r="B364" s="74" t="s">
        <v>1544</v>
      </c>
      <c r="C364" s="81">
        <v>1100</v>
      </c>
    </row>
    <row r="365" spans="1:3" x14ac:dyDescent="0.2">
      <c r="A365" s="90" t="s">
        <v>1507</v>
      </c>
      <c r="B365" s="74" t="s">
        <v>1544</v>
      </c>
      <c r="C365" s="81">
        <v>1100</v>
      </c>
    </row>
    <row r="366" spans="1:3" x14ac:dyDescent="0.2">
      <c r="A366" s="90" t="s">
        <v>1507</v>
      </c>
      <c r="B366" s="74" t="s">
        <v>1544</v>
      </c>
      <c r="C366" s="81">
        <v>1100</v>
      </c>
    </row>
    <row r="367" spans="1:3" x14ac:dyDescent="0.2">
      <c r="A367" s="90" t="s">
        <v>1507</v>
      </c>
      <c r="B367" s="74" t="s">
        <v>1544</v>
      </c>
      <c r="C367" s="81">
        <v>1100</v>
      </c>
    </row>
    <row r="368" spans="1:3" x14ac:dyDescent="0.2">
      <c r="A368" s="90" t="s">
        <v>1507</v>
      </c>
      <c r="B368" s="74" t="s">
        <v>1544</v>
      </c>
      <c r="C368" s="81">
        <v>1100</v>
      </c>
    </row>
    <row r="369" spans="1:3" x14ac:dyDescent="0.2">
      <c r="A369" s="90" t="s">
        <v>1507</v>
      </c>
      <c r="B369" s="74" t="s">
        <v>1544</v>
      </c>
      <c r="C369" s="81">
        <v>1100</v>
      </c>
    </row>
    <row r="370" spans="1:3" x14ac:dyDescent="0.2">
      <c r="A370" s="90" t="s">
        <v>1507</v>
      </c>
      <c r="B370" s="74" t="s">
        <v>1544</v>
      </c>
      <c r="C370" s="81">
        <v>1100</v>
      </c>
    </row>
    <row r="371" spans="1:3" x14ac:dyDescent="0.2">
      <c r="A371" s="90" t="s">
        <v>1507</v>
      </c>
      <c r="B371" s="74" t="s">
        <v>1544</v>
      </c>
      <c r="C371" s="81">
        <v>1100</v>
      </c>
    </row>
    <row r="372" spans="1:3" x14ac:dyDescent="0.2">
      <c r="A372" s="90" t="s">
        <v>1507</v>
      </c>
      <c r="B372" s="74" t="s">
        <v>1544</v>
      </c>
      <c r="C372" s="81">
        <v>1100</v>
      </c>
    </row>
    <row r="373" spans="1:3" x14ac:dyDescent="0.2">
      <c r="A373" s="90" t="s">
        <v>1507</v>
      </c>
      <c r="B373" s="74" t="s">
        <v>1544</v>
      </c>
      <c r="C373" s="81">
        <v>1100</v>
      </c>
    </row>
    <row r="374" spans="1:3" x14ac:dyDescent="0.2">
      <c r="A374" s="90" t="s">
        <v>1507</v>
      </c>
      <c r="B374" s="74" t="s">
        <v>1544</v>
      </c>
      <c r="C374" s="81">
        <v>1100</v>
      </c>
    </row>
    <row r="375" spans="1:3" x14ac:dyDescent="0.2">
      <c r="A375" s="90" t="s">
        <v>1507</v>
      </c>
      <c r="B375" s="74" t="s">
        <v>1544</v>
      </c>
      <c r="C375" s="81">
        <v>1100</v>
      </c>
    </row>
    <row r="376" spans="1:3" x14ac:dyDescent="0.2">
      <c r="A376" s="90" t="s">
        <v>1507</v>
      </c>
      <c r="B376" s="74" t="s">
        <v>1544</v>
      </c>
      <c r="C376" s="81">
        <v>1100</v>
      </c>
    </row>
    <row r="377" spans="1:3" x14ac:dyDescent="0.2">
      <c r="A377" s="90" t="s">
        <v>1507</v>
      </c>
      <c r="B377" s="74" t="s">
        <v>1544</v>
      </c>
      <c r="C377" s="81">
        <v>1100</v>
      </c>
    </row>
    <row r="378" spans="1:3" x14ac:dyDescent="0.2">
      <c r="A378" s="90" t="s">
        <v>1507</v>
      </c>
      <c r="B378" s="74" t="s">
        <v>1544</v>
      </c>
      <c r="C378" s="81">
        <v>1100</v>
      </c>
    </row>
    <row r="379" spans="1:3" x14ac:dyDescent="0.2">
      <c r="A379" s="90" t="s">
        <v>1507</v>
      </c>
      <c r="B379" s="74" t="s">
        <v>1544</v>
      </c>
      <c r="C379" s="81">
        <v>1100</v>
      </c>
    </row>
    <row r="380" spans="1:3" x14ac:dyDescent="0.2">
      <c r="A380" s="90" t="s">
        <v>1507</v>
      </c>
      <c r="B380" s="74" t="s">
        <v>1544</v>
      </c>
      <c r="C380" s="81">
        <v>1100</v>
      </c>
    </row>
    <row r="381" spans="1:3" x14ac:dyDescent="0.2">
      <c r="A381" s="90" t="s">
        <v>1507</v>
      </c>
      <c r="B381" s="74" t="s">
        <v>1544</v>
      </c>
      <c r="C381" s="81">
        <v>1100</v>
      </c>
    </row>
    <row r="382" spans="1:3" ht="49.5" x14ac:dyDescent="0.2">
      <c r="A382" s="90" t="s">
        <v>1507</v>
      </c>
      <c r="B382" s="74" t="s">
        <v>1545</v>
      </c>
      <c r="C382" s="81">
        <v>200000</v>
      </c>
    </row>
    <row r="383" spans="1:3" ht="12.75" customHeight="1" x14ac:dyDescent="0.2">
      <c r="A383" s="90" t="s">
        <v>1507</v>
      </c>
      <c r="B383" s="74" t="s">
        <v>1546</v>
      </c>
      <c r="C383" s="81">
        <v>60000</v>
      </c>
    </row>
    <row r="384" spans="1:3" x14ac:dyDescent="0.2">
      <c r="A384" s="90" t="s">
        <v>1507</v>
      </c>
      <c r="B384" s="74"/>
      <c r="C384" s="81">
        <v>37170.959999999999</v>
      </c>
    </row>
    <row r="385" spans="1:3" ht="255" x14ac:dyDescent="0.2">
      <c r="A385" s="90" t="s">
        <v>1507</v>
      </c>
      <c r="B385" s="74" t="s">
        <v>1547</v>
      </c>
      <c r="C385" s="81">
        <v>120000</v>
      </c>
    </row>
    <row r="386" spans="1:3" ht="191.25" x14ac:dyDescent="0.2">
      <c r="A386" s="90" t="s">
        <v>1507</v>
      </c>
      <c r="B386" s="74" t="s">
        <v>1548</v>
      </c>
      <c r="C386" s="81">
        <v>38687</v>
      </c>
    </row>
    <row r="387" spans="1:3" x14ac:dyDescent="0.2">
      <c r="A387" s="90" t="s">
        <v>1507</v>
      </c>
      <c r="B387" s="74" t="s">
        <v>1549</v>
      </c>
      <c r="C387" s="81">
        <v>6631.13</v>
      </c>
    </row>
    <row r="388" spans="1:3" ht="13.5" thickBot="1" x14ac:dyDescent="0.25">
      <c r="A388" s="63"/>
      <c r="B388" s="64"/>
      <c r="C388" s="64"/>
    </row>
    <row r="389" spans="1:3" ht="17.25" customHeight="1" x14ac:dyDescent="0.2">
      <c r="A389" s="65"/>
      <c r="B389" s="65"/>
      <c r="C389" s="65"/>
    </row>
    <row r="392" spans="1:3" x14ac:dyDescent="0.2">
      <c r="B392" s="54"/>
      <c r="C392" s="54"/>
    </row>
    <row r="393" spans="1:3" x14ac:dyDescent="0.2">
      <c r="B393" s="54"/>
      <c r="C393" s="54"/>
    </row>
    <row r="394" spans="1:3" x14ac:dyDescent="0.2">
      <c r="B394" s="54"/>
      <c r="C394" s="54"/>
    </row>
    <row r="395" spans="1:3" x14ac:dyDescent="0.2">
      <c r="B395" s="54"/>
      <c r="C395" s="54"/>
    </row>
    <row r="396" spans="1:3" x14ac:dyDescent="0.2">
      <c r="B396" s="54"/>
      <c r="C396" s="54"/>
    </row>
    <row r="397" spans="1:3" x14ac:dyDescent="0.2">
      <c r="B397" s="54"/>
      <c r="C397" s="54"/>
    </row>
    <row r="398" spans="1:3" x14ac:dyDescent="0.2">
      <c r="B398" s="54"/>
      <c r="C398" s="54"/>
    </row>
    <row r="399" spans="1:3" x14ac:dyDescent="0.2">
      <c r="B399" s="54"/>
      <c r="C399" s="54"/>
    </row>
    <row r="400" spans="1:3" x14ac:dyDescent="0.2">
      <c r="B400" s="54"/>
      <c r="C400" s="54"/>
    </row>
    <row r="401" spans="2:3" x14ac:dyDescent="0.2">
      <c r="B401" s="54"/>
      <c r="C401" s="54"/>
    </row>
    <row r="402" spans="2:3" x14ac:dyDescent="0.2">
      <c r="B402" s="54"/>
      <c r="C402" s="54"/>
    </row>
    <row r="403" spans="2:3" x14ac:dyDescent="0.2">
      <c r="B403" s="54"/>
      <c r="C403" s="54"/>
    </row>
    <row r="404" spans="2:3" x14ac:dyDescent="0.2">
      <c r="B404" s="54"/>
      <c r="C404" s="54"/>
    </row>
    <row r="405" spans="2:3" x14ac:dyDescent="0.2">
      <c r="B405" s="54"/>
      <c r="C405" s="54"/>
    </row>
    <row r="406" spans="2:3" x14ac:dyDescent="0.2">
      <c r="B406" s="54"/>
      <c r="C406" s="54"/>
    </row>
    <row r="407" spans="2:3" x14ac:dyDescent="0.2">
      <c r="B407" s="54"/>
      <c r="C407" s="54"/>
    </row>
    <row r="408" spans="2:3" x14ac:dyDescent="0.2">
      <c r="B408" s="54"/>
      <c r="C408" s="54"/>
    </row>
    <row r="409" spans="2:3" x14ac:dyDescent="0.2">
      <c r="B409" s="54"/>
      <c r="C409" s="54"/>
    </row>
    <row r="410" spans="2:3" x14ac:dyDescent="0.2">
      <c r="B410" s="54"/>
      <c r="C410" s="54"/>
    </row>
    <row r="411" spans="2:3" x14ac:dyDescent="0.2">
      <c r="B411" s="54"/>
      <c r="C411" s="54"/>
    </row>
    <row r="412" spans="2:3" x14ac:dyDescent="0.2">
      <c r="B412" s="54"/>
      <c r="C412" s="54"/>
    </row>
    <row r="413" spans="2:3" x14ac:dyDescent="0.2">
      <c r="B413" s="54"/>
      <c r="C413" s="54"/>
    </row>
    <row r="414" spans="2:3" x14ac:dyDescent="0.2">
      <c r="B414" s="54"/>
      <c r="C414" s="54"/>
    </row>
    <row r="415" spans="2:3" x14ac:dyDescent="0.2">
      <c r="B415" s="54"/>
      <c r="C415" s="54"/>
    </row>
    <row r="416" spans="2:3" x14ac:dyDescent="0.2">
      <c r="B416" s="54"/>
      <c r="C416" s="54"/>
    </row>
    <row r="417" spans="2:3" x14ac:dyDescent="0.2">
      <c r="B417" s="54"/>
      <c r="C417" s="54"/>
    </row>
    <row r="418" spans="2:3" x14ac:dyDescent="0.2">
      <c r="B418" s="54"/>
      <c r="C418" s="54"/>
    </row>
    <row r="419" spans="2:3" x14ac:dyDescent="0.2">
      <c r="B419" s="54"/>
      <c r="C419" s="54"/>
    </row>
    <row r="420" spans="2:3" x14ac:dyDescent="0.2">
      <c r="B420" s="54"/>
      <c r="C420" s="54"/>
    </row>
    <row r="421" spans="2:3" x14ac:dyDescent="0.2">
      <c r="B421" s="54"/>
      <c r="C421" s="54"/>
    </row>
    <row r="422" spans="2:3" x14ac:dyDescent="0.2">
      <c r="B422" s="54"/>
      <c r="C422" s="54"/>
    </row>
    <row r="423" spans="2:3" x14ac:dyDescent="0.2">
      <c r="B423" s="54"/>
      <c r="C423" s="54"/>
    </row>
    <row r="424" spans="2:3" x14ac:dyDescent="0.2">
      <c r="B424" s="54"/>
      <c r="C424" s="54"/>
    </row>
    <row r="425" spans="2:3" x14ac:dyDescent="0.2">
      <c r="B425" s="54"/>
      <c r="C425" s="54"/>
    </row>
    <row r="426" spans="2:3" x14ac:dyDescent="0.2">
      <c r="B426" s="54"/>
      <c r="C426" s="54"/>
    </row>
    <row r="427" spans="2:3" x14ac:dyDescent="0.2">
      <c r="B427" s="54"/>
      <c r="C427" s="54"/>
    </row>
    <row r="428" spans="2:3" x14ac:dyDescent="0.2">
      <c r="B428" s="54"/>
      <c r="C428" s="54"/>
    </row>
    <row r="429" spans="2:3" x14ac:dyDescent="0.2">
      <c r="B429" s="54"/>
      <c r="C429" s="54"/>
    </row>
    <row r="430" spans="2:3" x14ac:dyDescent="0.2">
      <c r="B430" s="54"/>
      <c r="C430" s="54"/>
    </row>
    <row r="431" spans="2:3" x14ac:dyDescent="0.2">
      <c r="B431" s="54"/>
      <c r="C431" s="54"/>
    </row>
    <row r="432" spans="2:3" x14ac:dyDescent="0.2">
      <c r="B432" s="54"/>
      <c r="C432" s="54"/>
    </row>
    <row r="433" spans="1:3" x14ac:dyDescent="0.2">
      <c r="B433" s="54"/>
      <c r="C433" s="54"/>
    </row>
    <row r="434" spans="1:3" x14ac:dyDescent="0.2">
      <c r="B434" s="54"/>
      <c r="C434" s="54"/>
    </row>
    <row r="435" spans="1:3" x14ac:dyDescent="0.2">
      <c r="B435" s="54"/>
      <c r="C435" s="54"/>
    </row>
    <row r="436" spans="1:3" x14ac:dyDescent="0.2">
      <c r="B436" s="54"/>
      <c r="C436" s="54"/>
    </row>
    <row r="437" spans="1:3" x14ac:dyDescent="0.2">
      <c r="A437" s="66"/>
    </row>
    <row r="438" spans="1:3" x14ac:dyDescent="0.2">
      <c r="A438" s="66"/>
      <c r="B438" s="67"/>
    </row>
    <row r="439" spans="1:3" ht="12.75" customHeight="1" x14ac:dyDescent="0.2">
      <c r="A439" s="66"/>
      <c r="B439" s="71"/>
      <c r="C439" s="71"/>
    </row>
    <row r="440" spans="1:3" ht="12.75" customHeight="1" x14ac:dyDescent="0.2">
      <c r="B440" s="71"/>
      <c r="C440" s="71"/>
    </row>
    <row r="451" s="68" customFormat="1" ht="11.25" x14ac:dyDescent="0.2"/>
  </sheetData>
  <printOptions horizontalCentered="1"/>
  <pageMargins left="0.35433070866141736" right="3.937007874015748E-2" top="0.51181102362204722" bottom="0.62992125984251968" header="0" footer="0"/>
  <pageSetup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88"/>
  <sheetViews>
    <sheetView showGridLines="0" zoomScaleNormal="100" workbookViewId="0">
      <pane ySplit="6" topLeftCell="A37" activePane="bottomLeft" state="frozen"/>
      <selection pane="bottomLeft" activeCell="B64" sqref="B64"/>
    </sheetView>
  </sheetViews>
  <sheetFormatPr baseColWidth="10" defaultRowHeight="12.75" x14ac:dyDescent="0.2"/>
  <cols>
    <col min="1" max="1" width="37.85546875" style="50" customWidth="1"/>
    <col min="2" max="2" width="48.28515625" style="50" customWidth="1"/>
    <col min="3" max="3" width="30" style="50" customWidth="1"/>
    <col min="4" max="16384" width="11.42578125" style="50"/>
  </cols>
  <sheetData>
    <row r="1" spans="1:8" ht="15.75" customHeight="1" x14ac:dyDescent="0.25">
      <c r="A1" s="55"/>
      <c r="B1" s="55"/>
      <c r="C1" s="72" t="s">
        <v>150</v>
      </c>
      <c r="D1" s="53"/>
      <c r="E1" s="53"/>
      <c r="F1" s="53"/>
      <c r="G1" s="53"/>
      <c r="H1" s="53"/>
    </row>
    <row r="2" spans="1:8" ht="23.25" customHeight="1" x14ac:dyDescent="0.25">
      <c r="A2" s="51" t="s">
        <v>314</v>
      </c>
      <c r="B2" s="52"/>
      <c r="C2" s="52"/>
      <c r="D2" s="53"/>
      <c r="E2" s="53"/>
      <c r="F2" s="53"/>
      <c r="G2" s="53"/>
      <c r="H2" s="53"/>
    </row>
    <row r="3" spans="1:8" ht="15" x14ac:dyDescent="0.25">
      <c r="A3" s="51" t="s">
        <v>152</v>
      </c>
      <c r="B3" s="51"/>
      <c r="C3" s="51"/>
    </row>
    <row r="4" spans="1:8" ht="12.75" customHeight="1" x14ac:dyDescent="0.25">
      <c r="A4" s="56"/>
      <c r="B4" s="56"/>
      <c r="C4" s="56"/>
    </row>
    <row r="5" spans="1:8" ht="13.5" thickBot="1" x14ac:dyDescent="0.25">
      <c r="A5" s="57" t="s">
        <v>20</v>
      </c>
      <c r="B5" s="57" t="s">
        <v>21</v>
      </c>
      <c r="C5" s="57" t="s">
        <v>16</v>
      </c>
    </row>
    <row r="6" spans="1:8" ht="31.5" customHeight="1" thickBot="1" x14ac:dyDescent="0.25">
      <c r="A6" s="69" t="s">
        <v>148</v>
      </c>
      <c r="B6" s="70" t="s">
        <v>132</v>
      </c>
      <c r="C6" s="70" t="s">
        <v>149</v>
      </c>
    </row>
    <row r="7" spans="1:8" ht="15.95" customHeight="1" x14ac:dyDescent="0.2">
      <c r="A7" s="90" t="s">
        <v>1120</v>
      </c>
      <c r="B7" s="74" t="s">
        <v>1121</v>
      </c>
      <c r="C7" s="81">
        <f>2820*1.15</f>
        <v>3242.9999999999995</v>
      </c>
    </row>
    <row r="8" spans="1:8" ht="15.95" customHeight="1" x14ac:dyDescent="0.2">
      <c r="A8" s="90" t="s">
        <v>1120</v>
      </c>
      <c r="B8" s="74" t="s">
        <v>1122</v>
      </c>
      <c r="C8" s="81">
        <f>4496*1.15</f>
        <v>5170.3999999999996</v>
      </c>
      <c r="D8" s="83"/>
    </row>
    <row r="9" spans="1:8" ht="15.95" customHeight="1" x14ac:dyDescent="0.2">
      <c r="A9" s="90" t="s">
        <v>1120</v>
      </c>
      <c r="B9" s="74" t="s">
        <v>1122</v>
      </c>
      <c r="C9" s="81">
        <f>4496*1.15</f>
        <v>5170.3999999999996</v>
      </c>
    </row>
    <row r="10" spans="1:8" ht="15.95" customHeight="1" x14ac:dyDescent="0.2">
      <c r="A10" s="90" t="s">
        <v>1120</v>
      </c>
      <c r="B10" s="74" t="s">
        <v>1122</v>
      </c>
      <c r="C10" s="81">
        <f>4496*1.15</f>
        <v>5170.3999999999996</v>
      </c>
    </row>
    <row r="11" spans="1:8" ht="15.95" customHeight="1" x14ac:dyDescent="0.2">
      <c r="A11" s="90" t="s">
        <v>1120</v>
      </c>
      <c r="B11" s="74" t="s">
        <v>1122</v>
      </c>
      <c r="C11" s="81">
        <f>4496*1.15</f>
        <v>5170.3999999999996</v>
      </c>
    </row>
    <row r="12" spans="1:8" ht="15.95" customHeight="1" x14ac:dyDescent="0.2">
      <c r="A12" s="90" t="s">
        <v>1120</v>
      </c>
      <c r="B12" s="74" t="s">
        <v>1123</v>
      </c>
      <c r="C12" s="81">
        <v>884.35</v>
      </c>
    </row>
    <row r="13" spans="1:8" ht="15.95" customHeight="1" x14ac:dyDescent="0.2">
      <c r="A13" s="90" t="s">
        <v>1120</v>
      </c>
      <c r="B13" s="74" t="s">
        <v>1123</v>
      </c>
      <c r="C13" s="81">
        <v>884.35</v>
      </c>
    </row>
    <row r="14" spans="1:8" ht="15.95" customHeight="1" x14ac:dyDescent="0.2">
      <c r="A14" s="90" t="s">
        <v>1120</v>
      </c>
      <c r="B14" s="74" t="s">
        <v>1124</v>
      </c>
      <c r="C14" s="81">
        <f>3533.91*1.15</f>
        <v>4063.9964999999997</v>
      </c>
    </row>
    <row r="15" spans="1:8" ht="15.95" customHeight="1" x14ac:dyDescent="0.2">
      <c r="A15" s="90" t="s">
        <v>1120</v>
      </c>
      <c r="B15" s="74" t="s">
        <v>1125</v>
      </c>
      <c r="C15" s="81">
        <f>1400*1.15</f>
        <v>1609.9999999999998</v>
      </c>
    </row>
    <row r="16" spans="1:8" ht="15.95" customHeight="1" x14ac:dyDescent="0.2">
      <c r="A16" s="90" t="s">
        <v>1120</v>
      </c>
      <c r="B16" s="74" t="s">
        <v>1126</v>
      </c>
      <c r="C16" s="81">
        <f>91.3*1.15</f>
        <v>104.99499999999999</v>
      </c>
    </row>
    <row r="17" spans="1:3" ht="15.95" customHeight="1" x14ac:dyDescent="0.2">
      <c r="A17" s="90" t="s">
        <v>1120</v>
      </c>
      <c r="B17" s="74" t="s">
        <v>1127</v>
      </c>
      <c r="C17" s="81">
        <f>1078.26*1.15</f>
        <v>1239.9989999999998</v>
      </c>
    </row>
    <row r="18" spans="1:3" ht="15.95" customHeight="1" x14ac:dyDescent="0.2">
      <c r="A18" s="90" t="s">
        <v>1120</v>
      </c>
      <c r="B18" s="74" t="s">
        <v>1123</v>
      </c>
      <c r="C18" s="81">
        <v>884.35</v>
      </c>
    </row>
    <row r="19" spans="1:3" ht="15.95" customHeight="1" x14ac:dyDescent="0.2">
      <c r="A19" s="90" t="s">
        <v>1120</v>
      </c>
      <c r="B19" s="74" t="s">
        <v>1123</v>
      </c>
      <c r="C19" s="81">
        <v>884.35</v>
      </c>
    </row>
    <row r="20" spans="1:3" ht="15.95" customHeight="1" x14ac:dyDescent="0.2">
      <c r="A20" s="90" t="s">
        <v>1120</v>
      </c>
      <c r="B20" s="74" t="s">
        <v>1123</v>
      </c>
      <c r="C20" s="81">
        <v>364.55</v>
      </c>
    </row>
    <row r="21" spans="1:3" ht="15.95" customHeight="1" x14ac:dyDescent="0.2">
      <c r="A21" s="90" t="s">
        <v>1120</v>
      </c>
      <c r="B21" s="74" t="s">
        <v>1128</v>
      </c>
      <c r="C21" s="81">
        <v>1420</v>
      </c>
    </row>
    <row r="22" spans="1:3" ht="15.95" customHeight="1" x14ac:dyDescent="0.2">
      <c r="A22" s="90" t="s">
        <v>1120</v>
      </c>
      <c r="B22" s="74" t="s">
        <v>1129</v>
      </c>
      <c r="C22" s="81">
        <f>340.31*1.15</f>
        <v>391.35649999999998</v>
      </c>
    </row>
    <row r="23" spans="1:3" ht="15.95" customHeight="1" x14ac:dyDescent="0.2">
      <c r="A23" s="90" t="s">
        <v>1120</v>
      </c>
      <c r="B23" s="74" t="s">
        <v>1130</v>
      </c>
      <c r="C23" s="81">
        <v>3736.35</v>
      </c>
    </row>
    <row r="24" spans="1:3" ht="15.95" customHeight="1" x14ac:dyDescent="0.2">
      <c r="A24" s="90" t="s">
        <v>1120</v>
      </c>
      <c r="B24" s="74" t="s">
        <v>1131</v>
      </c>
      <c r="C24" s="81">
        <f>2255*1.15</f>
        <v>2593.25</v>
      </c>
    </row>
    <row r="25" spans="1:3" ht="33" customHeight="1" x14ac:dyDescent="0.2">
      <c r="A25" s="90" t="s">
        <v>1120</v>
      </c>
      <c r="B25" s="74" t="s">
        <v>1132</v>
      </c>
      <c r="C25" s="81">
        <f>2745*1.15</f>
        <v>3156.7499999999995</v>
      </c>
    </row>
    <row r="26" spans="1:3" ht="33" customHeight="1" x14ac:dyDescent="0.2">
      <c r="A26" s="90" t="s">
        <v>1120</v>
      </c>
      <c r="B26" s="74" t="s">
        <v>1132</v>
      </c>
      <c r="C26" s="81">
        <f>2745*1.15</f>
        <v>3156.7499999999995</v>
      </c>
    </row>
    <row r="27" spans="1:3" ht="15.95" customHeight="1" x14ac:dyDescent="0.2">
      <c r="A27" s="90" t="s">
        <v>1120</v>
      </c>
      <c r="B27" s="74" t="s">
        <v>1133</v>
      </c>
      <c r="C27" s="81">
        <v>1599</v>
      </c>
    </row>
    <row r="28" spans="1:3" ht="15.95" customHeight="1" x14ac:dyDescent="0.2">
      <c r="A28" s="90" t="s">
        <v>1120</v>
      </c>
      <c r="B28" s="74" t="s">
        <v>1134</v>
      </c>
      <c r="C28" s="81">
        <f>900*1.15</f>
        <v>1035</v>
      </c>
    </row>
    <row r="29" spans="1:3" ht="15.95" customHeight="1" x14ac:dyDescent="0.2">
      <c r="A29" s="90" t="s">
        <v>1120</v>
      </c>
      <c r="B29" s="74" t="s">
        <v>1129</v>
      </c>
      <c r="C29" s="81">
        <f>340.31*1.15</f>
        <v>391.35649999999998</v>
      </c>
    </row>
    <row r="30" spans="1:3" ht="15.95" customHeight="1" x14ac:dyDescent="0.2">
      <c r="A30" s="90" t="s">
        <v>1120</v>
      </c>
      <c r="B30" s="74" t="s">
        <v>1135</v>
      </c>
      <c r="C30" s="81">
        <f>1980*1.15</f>
        <v>2277</v>
      </c>
    </row>
    <row r="31" spans="1:3" ht="15.95" customHeight="1" x14ac:dyDescent="0.2">
      <c r="A31" s="90" t="s">
        <v>1120</v>
      </c>
      <c r="B31" s="74" t="s">
        <v>1124</v>
      </c>
      <c r="C31" s="81">
        <v>2000</v>
      </c>
    </row>
    <row r="32" spans="1:3" ht="15.95" customHeight="1" x14ac:dyDescent="0.2">
      <c r="A32" s="90" t="s">
        <v>1120</v>
      </c>
      <c r="B32" s="74" t="s">
        <v>1136</v>
      </c>
      <c r="C32" s="81">
        <v>209667.85</v>
      </c>
    </row>
    <row r="33" spans="1:3" ht="15.95" customHeight="1" x14ac:dyDescent="0.2">
      <c r="A33" s="90" t="s">
        <v>1120</v>
      </c>
      <c r="B33" s="74" t="s">
        <v>1137</v>
      </c>
      <c r="C33" s="81">
        <v>1570</v>
      </c>
    </row>
    <row r="34" spans="1:3" ht="15.95" customHeight="1" x14ac:dyDescent="0.2">
      <c r="A34" s="90" t="s">
        <v>1120</v>
      </c>
      <c r="B34" s="74" t="s">
        <v>1137</v>
      </c>
      <c r="C34" s="81">
        <v>1570</v>
      </c>
    </row>
    <row r="35" spans="1:3" ht="15.95" customHeight="1" x14ac:dyDescent="0.2">
      <c r="A35" s="90" t="s">
        <v>1120</v>
      </c>
      <c r="B35" s="74" t="s">
        <v>1137</v>
      </c>
      <c r="C35" s="81">
        <v>1570</v>
      </c>
    </row>
    <row r="36" spans="1:3" ht="15.95" customHeight="1" x14ac:dyDescent="0.2">
      <c r="A36" s="90" t="s">
        <v>1120</v>
      </c>
      <c r="B36" s="74" t="s">
        <v>1138</v>
      </c>
      <c r="C36" s="81">
        <v>4749.3</v>
      </c>
    </row>
    <row r="37" spans="1:3" ht="15.95" customHeight="1" x14ac:dyDescent="0.2">
      <c r="A37" s="90" t="s">
        <v>1120</v>
      </c>
      <c r="B37" s="74" t="s">
        <v>1133</v>
      </c>
      <c r="C37" s="81">
        <v>2700</v>
      </c>
    </row>
    <row r="38" spans="1:3" ht="9.75" customHeight="1" thickBot="1" x14ac:dyDescent="0.25">
      <c r="A38" s="63"/>
      <c r="B38" s="64"/>
      <c r="C38" s="64"/>
    </row>
    <row r="39" spans="1:3" ht="9.75" customHeight="1" x14ac:dyDescent="0.2">
      <c r="A39" s="95"/>
      <c r="B39" s="95"/>
      <c r="C39" s="95"/>
    </row>
    <row r="40" spans="1:3" ht="17.25" customHeight="1" x14ac:dyDescent="0.2">
      <c r="A40" s="65"/>
      <c r="B40" s="65"/>
      <c r="C40" s="65"/>
    </row>
    <row r="41" spans="1:3" ht="63" customHeight="1" x14ac:dyDescent="0.2"/>
    <row r="43" spans="1:3" x14ac:dyDescent="0.2">
      <c r="B43" s="54"/>
      <c r="C43" s="54"/>
    </row>
    <row r="44" spans="1:3" x14ac:dyDescent="0.2">
      <c r="B44" s="54"/>
      <c r="C44" s="54"/>
    </row>
    <row r="45" spans="1:3" x14ac:dyDescent="0.2">
      <c r="B45" s="54"/>
      <c r="C45" s="54"/>
    </row>
    <row r="46" spans="1:3" x14ac:dyDescent="0.2">
      <c r="B46" s="54"/>
      <c r="C46" s="54"/>
    </row>
    <row r="47" spans="1:3" x14ac:dyDescent="0.2">
      <c r="B47" s="54"/>
      <c r="C47" s="54"/>
    </row>
    <row r="48" spans="1:3" x14ac:dyDescent="0.2">
      <c r="B48" s="54"/>
      <c r="C48" s="54"/>
    </row>
    <row r="49" spans="2:3" x14ac:dyDescent="0.2">
      <c r="B49" s="54"/>
      <c r="C49" s="54"/>
    </row>
    <row r="50" spans="2:3" x14ac:dyDescent="0.2">
      <c r="B50" s="54"/>
      <c r="C50" s="54"/>
    </row>
    <row r="51" spans="2:3" x14ac:dyDescent="0.2">
      <c r="B51" s="54"/>
      <c r="C51" s="54"/>
    </row>
    <row r="52" spans="2:3" x14ac:dyDescent="0.2">
      <c r="B52" s="54"/>
      <c r="C52" s="54"/>
    </row>
    <row r="53" spans="2:3" x14ac:dyDescent="0.2">
      <c r="B53" s="54"/>
      <c r="C53" s="54"/>
    </row>
    <row r="54" spans="2:3" x14ac:dyDescent="0.2">
      <c r="B54" s="54"/>
      <c r="C54" s="54"/>
    </row>
    <row r="55" spans="2:3" x14ac:dyDescent="0.2">
      <c r="B55" s="54"/>
      <c r="C55" s="54"/>
    </row>
    <row r="56" spans="2:3" x14ac:dyDescent="0.2">
      <c r="B56" s="54"/>
      <c r="C56" s="54"/>
    </row>
    <row r="57" spans="2:3" x14ac:dyDescent="0.2">
      <c r="B57" s="54"/>
      <c r="C57" s="54"/>
    </row>
    <row r="58" spans="2:3" x14ac:dyDescent="0.2">
      <c r="B58" s="54"/>
      <c r="C58" s="54"/>
    </row>
    <row r="59" spans="2:3" x14ac:dyDescent="0.2">
      <c r="B59" s="54"/>
      <c r="C59" s="54"/>
    </row>
    <row r="60" spans="2:3" x14ac:dyDescent="0.2">
      <c r="B60" s="54"/>
      <c r="C60" s="54"/>
    </row>
    <row r="61" spans="2:3" x14ac:dyDescent="0.2">
      <c r="B61" s="54"/>
      <c r="C61" s="54"/>
    </row>
    <row r="62" spans="2:3" x14ac:dyDescent="0.2">
      <c r="B62" s="54"/>
      <c r="C62" s="54"/>
    </row>
    <row r="63" spans="2:3" x14ac:dyDescent="0.2">
      <c r="B63" s="54"/>
      <c r="C63" s="54"/>
    </row>
    <row r="64" spans="2:3" x14ac:dyDescent="0.2">
      <c r="B64" s="54"/>
      <c r="C64" s="54"/>
    </row>
    <row r="65" spans="1:3" x14ac:dyDescent="0.2">
      <c r="B65" s="54"/>
      <c r="C65" s="54"/>
    </row>
    <row r="66" spans="1:3" x14ac:dyDescent="0.2">
      <c r="B66" s="54"/>
      <c r="C66" s="54"/>
    </row>
    <row r="67" spans="1:3" x14ac:dyDescent="0.2">
      <c r="B67" s="54"/>
      <c r="C67" s="54"/>
    </row>
    <row r="68" spans="1:3" x14ac:dyDescent="0.2">
      <c r="B68" s="54"/>
      <c r="C68" s="54"/>
    </row>
    <row r="69" spans="1:3" x14ac:dyDescent="0.2">
      <c r="B69" s="54"/>
      <c r="C69" s="54"/>
    </row>
    <row r="70" spans="1:3" x14ac:dyDescent="0.2">
      <c r="B70" s="54"/>
      <c r="C70" s="54"/>
    </row>
    <row r="71" spans="1:3" x14ac:dyDescent="0.2">
      <c r="B71" s="54"/>
      <c r="C71" s="54"/>
    </row>
    <row r="72" spans="1:3" x14ac:dyDescent="0.2">
      <c r="B72" s="54"/>
      <c r="C72" s="54"/>
    </row>
    <row r="73" spans="1:3" x14ac:dyDescent="0.2">
      <c r="B73" s="54"/>
      <c r="C73" s="54"/>
    </row>
    <row r="74" spans="1:3" x14ac:dyDescent="0.2">
      <c r="A74" s="66"/>
    </row>
    <row r="75" spans="1:3" x14ac:dyDescent="0.2">
      <c r="A75" s="66"/>
      <c r="B75" s="67"/>
    </row>
    <row r="76" spans="1:3" ht="12.75" customHeight="1" x14ac:dyDescent="0.2">
      <c r="A76" s="66"/>
      <c r="B76" s="71"/>
      <c r="C76" s="71"/>
    </row>
    <row r="77" spans="1:3" ht="12.75" customHeight="1" x14ac:dyDescent="0.2">
      <c r="B77" s="71"/>
      <c r="C77" s="71"/>
    </row>
    <row r="88" s="68" customFormat="1" ht="11.25" x14ac:dyDescent="0.2"/>
  </sheetData>
  <printOptions horizontalCentered="1"/>
  <pageMargins left="0.35433070866141736" right="3.937007874015748E-2" top="0.35" bottom="0.4" header="0" footer="0"/>
  <pageSetup orientation="landscape" horizontalDpi="300" verticalDpi="300" r:id="rId1"/>
  <headerFooter alignWithMargins="0"/>
  <ignoredErrors>
    <ignoredError sqref="C7 C8:C11 C14:C17 C22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53"/>
  <sheetViews>
    <sheetView showGridLines="0" zoomScaleNormal="100" workbookViewId="0">
      <pane ySplit="6" topLeftCell="A98" activePane="bottomLeft" state="frozen"/>
      <selection pane="bottomLeft" activeCell="B109" sqref="B109"/>
    </sheetView>
  </sheetViews>
  <sheetFormatPr baseColWidth="10" defaultRowHeight="12.75" x14ac:dyDescent="0.2"/>
  <cols>
    <col min="1" max="1" width="31.140625" style="50" customWidth="1"/>
    <col min="2" max="2" width="47.28515625" style="50" customWidth="1"/>
    <col min="3" max="3" width="34.85546875" style="50" customWidth="1"/>
    <col min="4" max="16384" width="11.42578125" style="50"/>
  </cols>
  <sheetData>
    <row r="1" spans="1:8" ht="15.75" customHeight="1" x14ac:dyDescent="0.25">
      <c r="A1" s="55"/>
      <c r="B1" s="55"/>
      <c r="C1" s="72" t="s">
        <v>150</v>
      </c>
      <c r="D1" s="53"/>
      <c r="E1" s="53"/>
      <c r="F1" s="53"/>
      <c r="G1" s="53"/>
      <c r="H1" s="53"/>
    </row>
    <row r="2" spans="1:8" ht="23.25" customHeight="1" x14ac:dyDescent="0.25">
      <c r="A2" s="51" t="s">
        <v>314</v>
      </c>
      <c r="B2" s="52"/>
      <c r="C2" s="52"/>
      <c r="D2" s="53"/>
      <c r="E2" s="53"/>
      <c r="F2" s="53"/>
      <c r="G2" s="53"/>
      <c r="H2" s="53"/>
    </row>
    <row r="3" spans="1:8" ht="15" x14ac:dyDescent="0.25">
      <c r="A3" s="51" t="s">
        <v>152</v>
      </c>
      <c r="B3" s="51"/>
      <c r="C3" s="51"/>
    </row>
    <row r="4" spans="1:8" ht="12.75" customHeight="1" x14ac:dyDescent="0.25">
      <c r="A4" s="56"/>
      <c r="B4" s="56"/>
      <c r="C4" s="56"/>
    </row>
    <row r="5" spans="1:8" ht="13.5" thickBot="1" x14ac:dyDescent="0.25">
      <c r="A5" s="57" t="s">
        <v>20</v>
      </c>
      <c r="B5" s="57" t="s">
        <v>21</v>
      </c>
      <c r="C5" s="57" t="s">
        <v>16</v>
      </c>
    </row>
    <row r="6" spans="1:8" ht="31.5" customHeight="1" thickBot="1" x14ac:dyDescent="0.25">
      <c r="A6" s="69" t="s">
        <v>148</v>
      </c>
      <c r="B6" s="70" t="s">
        <v>132</v>
      </c>
      <c r="C6" s="70" t="s">
        <v>149</v>
      </c>
    </row>
    <row r="7" spans="1:8" ht="15.95" customHeight="1" x14ac:dyDescent="0.2">
      <c r="A7" s="90" t="s">
        <v>1139</v>
      </c>
      <c r="B7" s="74" t="s">
        <v>1140</v>
      </c>
      <c r="C7" s="81">
        <v>4226.71</v>
      </c>
    </row>
    <row r="8" spans="1:8" ht="15.95" customHeight="1" x14ac:dyDescent="0.2">
      <c r="A8" s="90" t="s">
        <v>1139</v>
      </c>
      <c r="B8" s="74" t="s">
        <v>1140</v>
      </c>
      <c r="C8" s="81">
        <v>4226.71</v>
      </c>
    </row>
    <row r="9" spans="1:8" ht="15.95" customHeight="1" x14ac:dyDescent="0.2">
      <c r="A9" s="90" t="s">
        <v>1139</v>
      </c>
      <c r="B9" s="74" t="s">
        <v>1140</v>
      </c>
      <c r="C9" s="81">
        <v>4226.71</v>
      </c>
    </row>
    <row r="10" spans="1:8" ht="15.95" customHeight="1" x14ac:dyDescent="0.2">
      <c r="A10" s="90" t="s">
        <v>1139</v>
      </c>
      <c r="B10" s="74" t="s">
        <v>1140</v>
      </c>
      <c r="C10" s="81">
        <v>4226.71</v>
      </c>
    </row>
    <row r="11" spans="1:8" x14ac:dyDescent="0.2">
      <c r="A11" s="90" t="s">
        <v>1139</v>
      </c>
      <c r="B11" s="74" t="s">
        <v>1141</v>
      </c>
      <c r="C11" s="81">
        <v>2450.59</v>
      </c>
    </row>
    <row r="12" spans="1:8" x14ac:dyDescent="0.2">
      <c r="A12" s="90" t="s">
        <v>1139</v>
      </c>
      <c r="B12" s="74" t="s">
        <v>1141</v>
      </c>
      <c r="C12" s="81">
        <v>2451.59</v>
      </c>
    </row>
    <row r="13" spans="1:8" x14ac:dyDescent="0.2">
      <c r="A13" s="90" t="s">
        <v>1139</v>
      </c>
      <c r="B13" s="74" t="s">
        <v>1142</v>
      </c>
      <c r="C13" s="81">
        <v>38885.629999999997</v>
      </c>
    </row>
    <row r="14" spans="1:8" x14ac:dyDescent="0.2">
      <c r="A14" s="90" t="s">
        <v>1139</v>
      </c>
      <c r="B14" s="74" t="s">
        <v>1143</v>
      </c>
      <c r="C14" s="81">
        <v>10790.62</v>
      </c>
    </row>
    <row r="15" spans="1:8" x14ac:dyDescent="0.2">
      <c r="A15" s="90" t="s">
        <v>1139</v>
      </c>
      <c r="B15" s="74" t="s">
        <v>1143</v>
      </c>
      <c r="C15" s="81">
        <v>10790.62</v>
      </c>
    </row>
    <row r="16" spans="1:8" x14ac:dyDescent="0.2">
      <c r="A16" s="90" t="s">
        <v>1139</v>
      </c>
      <c r="B16" s="74" t="s">
        <v>1144</v>
      </c>
      <c r="C16" s="81">
        <v>3985.27</v>
      </c>
    </row>
    <row r="17" spans="1:3" x14ac:dyDescent="0.2">
      <c r="A17" s="90" t="s">
        <v>1139</v>
      </c>
      <c r="B17" s="74" t="s">
        <v>1144</v>
      </c>
      <c r="C17" s="81">
        <v>3985.27</v>
      </c>
    </row>
    <row r="18" spans="1:3" x14ac:dyDescent="0.2">
      <c r="A18" s="90" t="s">
        <v>1139</v>
      </c>
      <c r="B18" s="74" t="s">
        <v>1145</v>
      </c>
      <c r="C18" s="81">
        <v>5872.82</v>
      </c>
    </row>
    <row r="19" spans="1:3" x14ac:dyDescent="0.2">
      <c r="A19" s="90" t="s">
        <v>1139</v>
      </c>
      <c r="B19" s="74" t="s">
        <v>1145</v>
      </c>
      <c r="C19" s="81">
        <v>5872.82</v>
      </c>
    </row>
    <row r="20" spans="1:3" ht="25.5" x14ac:dyDescent="0.2">
      <c r="A20" s="90" t="s">
        <v>1139</v>
      </c>
      <c r="B20" s="74" t="s">
        <v>1146</v>
      </c>
      <c r="C20" s="81">
        <v>29108</v>
      </c>
    </row>
    <row r="21" spans="1:3" ht="25.5" x14ac:dyDescent="0.2">
      <c r="A21" s="90" t="s">
        <v>1139</v>
      </c>
      <c r="B21" s="74" t="s">
        <v>1147</v>
      </c>
      <c r="C21" s="81">
        <v>46159.51</v>
      </c>
    </row>
    <row r="22" spans="1:3" ht="25.5" x14ac:dyDescent="0.2">
      <c r="A22" s="90" t="s">
        <v>1139</v>
      </c>
      <c r="B22" s="74" t="s">
        <v>1147</v>
      </c>
      <c r="C22" s="81">
        <v>46159.51</v>
      </c>
    </row>
    <row r="23" spans="1:3" x14ac:dyDescent="0.2">
      <c r="A23" s="90" t="s">
        <v>1139</v>
      </c>
      <c r="B23" s="74" t="s">
        <v>1148</v>
      </c>
      <c r="C23" s="81">
        <v>3969.63</v>
      </c>
    </row>
    <row r="24" spans="1:3" x14ac:dyDescent="0.2">
      <c r="A24" s="90" t="s">
        <v>1139</v>
      </c>
      <c r="B24" s="74" t="s">
        <v>1148</v>
      </c>
      <c r="C24" s="81">
        <v>3969.63</v>
      </c>
    </row>
    <row r="25" spans="1:3" x14ac:dyDescent="0.2">
      <c r="A25" s="90" t="s">
        <v>1139</v>
      </c>
      <c r="B25" s="74" t="s">
        <v>1149</v>
      </c>
      <c r="C25" s="81">
        <v>3829.85</v>
      </c>
    </row>
    <row r="26" spans="1:3" x14ac:dyDescent="0.2">
      <c r="A26" s="90" t="s">
        <v>1139</v>
      </c>
      <c r="B26" s="74" t="s">
        <v>1149</v>
      </c>
      <c r="C26" s="81">
        <v>3829.85</v>
      </c>
    </row>
    <row r="27" spans="1:3" x14ac:dyDescent="0.2">
      <c r="A27" s="90" t="s">
        <v>1139</v>
      </c>
      <c r="B27" s="74" t="s">
        <v>1150</v>
      </c>
      <c r="C27" s="81">
        <v>1103.5999999999999</v>
      </c>
    </row>
    <row r="28" spans="1:3" x14ac:dyDescent="0.2">
      <c r="A28" s="90" t="s">
        <v>1139</v>
      </c>
      <c r="B28" s="74" t="s">
        <v>1150</v>
      </c>
      <c r="C28" s="81">
        <v>1103.5999999999999</v>
      </c>
    </row>
    <row r="29" spans="1:3" x14ac:dyDescent="0.2">
      <c r="A29" s="90" t="s">
        <v>1139</v>
      </c>
      <c r="B29" s="74" t="s">
        <v>1151</v>
      </c>
      <c r="C29" s="81">
        <v>4575.68</v>
      </c>
    </row>
    <row r="30" spans="1:3" x14ac:dyDescent="0.2">
      <c r="A30" s="90" t="s">
        <v>1139</v>
      </c>
      <c r="B30" s="74" t="s">
        <v>1151</v>
      </c>
      <c r="C30" s="81">
        <v>4575.68</v>
      </c>
    </row>
    <row r="31" spans="1:3" x14ac:dyDescent="0.2">
      <c r="A31" s="90" t="s">
        <v>1139</v>
      </c>
      <c r="B31" s="74" t="s">
        <v>1152</v>
      </c>
      <c r="C31" s="81">
        <v>1260.2</v>
      </c>
    </row>
    <row r="32" spans="1:3" x14ac:dyDescent="0.2">
      <c r="A32" s="90" t="s">
        <v>1139</v>
      </c>
      <c r="B32" s="74" t="s">
        <v>1153</v>
      </c>
      <c r="C32" s="81">
        <v>5443.7</v>
      </c>
    </row>
    <row r="33" spans="1:3" x14ac:dyDescent="0.2">
      <c r="A33" s="90" t="s">
        <v>1139</v>
      </c>
      <c r="B33" s="74" t="s">
        <v>1154</v>
      </c>
      <c r="C33" s="81">
        <v>1227.4000000000001</v>
      </c>
    </row>
    <row r="34" spans="1:3" ht="25.5" x14ac:dyDescent="0.2">
      <c r="A34" s="90" t="s">
        <v>1139</v>
      </c>
      <c r="B34" s="74" t="s">
        <v>1155</v>
      </c>
      <c r="C34" s="81">
        <v>1227.4000000000001</v>
      </c>
    </row>
    <row r="35" spans="1:3" x14ac:dyDescent="0.2">
      <c r="A35" s="90" t="s">
        <v>1139</v>
      </c>
      <c r="B35" s="74" t="s">
        <v>1156</v>
      </c>
      <c r="C35" s="81">
        <v>1668.9</v>
      </c>
    </row>
    <row r="36" spans="1:3" x14ac:dyDescent="0.2">
      <c r="A36" s="90" t="s">
        <v>1139</v>
      </c>
      <c r="B36" s="74" t="s">
        <v>1156</v>
      </c>
      <c r="C36" s="81">
        <v>1668.9</v>
      </c>
    </row>
    <row r="37" spans="1:3" x14ac:dyDescent="0.2">
      <c r="A37" s="90" t="s">
        <v>1139</v>
      </c>
      <c r="B37" s="74" t="s">
        <v>1157</v>
      </c>
      <c r="C37" s="81">
        <v>1252.49</v>
      </c>
    </row>
    <row r="38" spans="1:3" x14ac:dyDescent="0.2">
      <c r="A38" s="90" t="s">
        <v>1139</v>
      </c>
      <c r="B38" s="74" t="s">
        <v>1157</v>
      </c>
      <c r="C38" s="81">
        <v>1252.49</v>
      </c>
    </row>
    <row r="39" spans="1:3" x14ac:dyDescent="0.2">
      <c r="A39" s="90" t="s">
        <v>1139</v>
      </c>
      <c r="B39" s="74" t="s">
        <v>1157</v>
      </c>
      <c r="C39" s="81">
        <v>1252.49</v>
      </c>
    </row>
    <row r="40" spans="1:3" ht="25.5" x14ac:dyDescent="0.2">
      <c r="A40" s="90" t="s">
        <v>1139</v>
      </c>
      <c r="B40" s="74" t="s">
        <v>1158</v>
      </c>
      <c r="C40" s="81">
        <v>1362.64</v>
      </c>
    </row>
    <row r="41" spans="1:3" ht="25.5" x14ac:dyDescent="0.2">
      <c r="A41" s="90" t="s">
        <v>1139</v>
      </c>
      <c r="B41" s="74" t="s">
        <v>1158</v>
      </c>
      <c r="C41" s="81">
        <v>1362.64</v>
      </c>
    </row>
    <row r="42" spans="1:3" ht="25.5" x14ac:dyDescent="0.2">
      <c r="A42" s="90" t="s">
        <v>1139</v>
      </c>
      <c r="B42" s="74" t="s">
        <v>1158</v>
      </c>
      <c r="C42" s="81">
        <v>1362.64</v>
      </c>
    </row>
    <row r="43" spans="1:3" ht="25.5" x14ac:dyDescent="0.2">
      <c r="A43" s="90" t="s">
        <v>1139</v>
      </c>
      <c r="B43" s="74" t="s">
        <v>1158</v>
      </c>
      <c r="C43" s="81">
        <v>1362.64</v>
      </c>
    </row>
    <row r="44" spans="1:3" ht="25.5" x14ac:dyDescent="0.2">
      <c r="A44" s="90" t="s">
        <v>1139</v>
      </c>
      <c r="B44" s="74" t="s">
        <v>1158</v>
      </c>
      <c r="C44" s="81">
        <v>1362.64</v>
      </c>
    </row>
    <row r="45" spans="1:3" ht="25.5" x14ac:dyDescent="0.2">
      <c r="A45" s="90" t="s">
        <v>1139</v>
      </c>
      <c r="B45" s="74" t="s">
        <v>1159</v>
      </c>
      <c r="C45" s="81">
        <v>6992.06</v>
      </c>
    </row>
    <row r="46" spans="1:3" ht="25.5" x14ac:dyDescent="0.2">
      <c r="A46" s="90" t="s">
        <v>1139</v>
      </c>
      <c r="B46" s="74" t="s">
        <v>1159</v>
      </c>
      <c r="C46" s="81">
        <v>6992.06</v>
      </c>
    </row>
    <row r="47" spans="1:3" ht="25.5" x14ac:dyDescent="0.2">
      <c r="A47" s="90" t="s">
        <v>1139</v>
      </c>
      <c r="B47" s="74" t="s">
        <v>1159</v>
      </c>
      <c r="C47" s="81">
        <v>6992.06</v>
      </c>
    </row>
    <row r="48" spans="1:3" x14ac:dyDescent="0.2">
      <c r="A48" s="90" t="s">
        <v>1139</v>
      </c>
      <c r="B48" s="74" t="s">
        <v>1160</v>
      </c>
      <c r="C48" s="81">
        <v>8850.2900000000009</v>
      </c>
    </row>
    <row r="49" spans="1:3" x14ac:dyDescent="0.2">
      <c r="A49" s="90" t="s">
        <v>1139</v>
      </c>
      <c r="B49" s="74" t="s">
        <v>1160</v>
      </c>
      <c r="C49" s="81">
        <v>8850.2900000000009</v>
      </c>
    </row>
    <row r="50" spans="1:3" ht="25.5" x14ac:dyDescent="0.2">
      <c r="A50" s="90" t="s">
        <v>1139</v>
      </c>
      <c r="B50" s="74" t="s">
        <v>1161</v>
      </c>
      <c r="C50" s="81">
        <f>42520.7*1.15</f>
        <v>48898.804999999993</v>
      </c>
    </row>
    <row r="51" spans="1:3" ht="38.25" x14ac:dyDescent="0.2">
      <c r="A51" s="90" t="s">
        <v>1139</v>
      </c>
      <c r="B51" s="74" t="s">
        <v>1162</v>
      </c>
      <c r="C51" s="81">
        <f>1696*1.15</f>
        <v>1950.3999999999999</v>
      </c>
    </row>
    <row r="52" spans="1:3" x14ac:dyDescent="0.2">
      <c r="A52" s="90" t="s">
        <v>1139</v>
      </c>
      <c r="B52" s="74" t="s">
        <v>1163</v>
      </c>
      <c r="C52" s="81">
        <f>6500*1.15</f>
        <v>7474.9999999999991</v>
      </c>
    </row>
    <row r="53" spans="1:3" ht="38.25" x14ac:dyDescent="0.2">
      <c r="A53" s="90" t="s">
        <v>1139</v>
      </c>
      <c r="B53" s="74" t="s">
        <v>1164</v>
      </c>
      <c r="C53" s="81">
        <v>6187</v>
      </c>
    </row>
    <row r="54" spans="1:3" ht="25.5" x14ac:dyDescent="0.2">
      <c r="A54" s="90" t="s">
        <v>1139</v>
      </c>
      <c r="B54" s="74" t="s">
        <v>1165</v>
      </c>
      <c r="C54" s="81">
        <f>522*1.15</f>
        <v>600.29999999999995</v>
      </c>
    </row>
    <row r="55" spans="1:3" ht="25.5" x14ac:dyDescent="0.2">
      <c r="A55" s="90" t="s">
        <v>1139</v>
      </c>
      <c r="B55" s="74" t="s">
        <v>1166</v>
      </c>
      <c r="C55" s="81">
        <f>2130*1.15</f>
        <v>2449.5</v>
      </c>
    </row>
    <row r="56" spans="1:3" x14ac:dyDescent="0.2">
      <c r="A56" s="90" t="s">
        <v>1139</v>
      </c>
      <c r="B56" s="74" t="s">
        <v>1167</v>
      </c>
      <c r="C56" s="81">
        <f>475*1.15</f>
        <v>546.25</v>
      </c>
    </row>
    <row r="57" spans="1:3" ht="25.5" x14ac:dyDescent="0.2">
      <c r="A57" s="90" t="s">
        <v>1139</v>
      </c>
      <c r="B57" s="74" t="s">
        <v>1168</v>
      </c>
      <c r="C57" s="81">
        <f>4783*1.15</f>
        <v>5500.45</v>
      </c>
    </row>
    <row r="58" spans="1:3" x14ac:dyDescent="0.2">
      <c r="A58" s="90" t="s">
        <v>1139</v>
      </c>
      <c r="B58" s="74" t="s">
        <v>1169</v>
      </c>
      <c r="C58" s="81">
        <f>25167*1.15</f>
        <v>28942.05</v>
      </c>
    </row>
    <row r="59" spans="1:3" x14ac:dyDescent="0.2">
      <c r="A59" s="90" t="s">
        <v>1139</v>
      </c>
      <c r="B59" s="74" t="s">
        <v>1170</v>
      </c>
      <c r="C59" s="81">
        <f>1850*1.15</f>
        <v>2127.5</v>
      </c>
    </row>
    <row r="60" spans="1:3" ht="76.5" x14ac:dyDescent="0.2">
      <c r="A60" s="90" t="s">
        <v>1139</v>
      </c>
      <c r="B60" s="74" t="s">
        <v>1171</v>
      </c>
      <c r="C60" s="81">
        <f>34085*1.15</f>
        <v>39197.75</v>
      </c>
    </row>
    <row r="61" spans="1:3" x14ac:dyDescent="0.2">
      <c r="A61" s="90" t="s">
        <v>1139</v>
      </c>
      <c r="B61" s="74" t="s">
        <v>1172</v>
      </c>
      <c r="C61" s="81">
        <f>48000*1.15</f>
        <v>55199.999999999993</v>
      </c>
    </row>
    <row r="62" spans="1:3" ht="25.5" x14ac:dyDescent="0.2">
      <c r="A62" s="90" t="s">
        <v>1139</v>
      </c>
      <c r="B62" s="74" t="s">
        <v>1173</v>
      </c>
      <c r="C62" s="81">
        <f>68600*1.15</f>
        <v>78890</v>
      </c>
    </row>
    <row r="63" spans="1:3" x14ac:dyDescent="0.2">
      <c r="A63" s="90" t="s">
        <v>1139</v>
      </c>
      <c r="B63" s="74" t="s">
        <v>1174</v>
      </c>
      <c r="C63" s="81">
        <f>6300*1.15</f>
        <v>7244.9999999999991</v>
      </c>
    </row>
    <row r="64" spans="1:3" ht="25.5" x14ac:dyDescent="0.2">
      <c r="A64" s="90" t="s">
        <v>1139</v>
      </c>
      <c r="B64" s="74" t="s">
        <v>1175</v>
      </c>
      <c r="C64" s="81">
        <f>20500*1.15</f>
        <v>23574.999999999996</v>
      </c>
    </row>
    <row r="65" spans="1:3" x14ac:dyDescent="0.2">
      <c r="A65" s="90" t="s">
        <v>1139</v>
      </c>
      <c r="B65" s="74" t="s">
        <v>1176</v>
      </c>
      <c r="C65" s="81">
        <f>6100*1.15</f>
        <v>7014.9999999999991</v>
      </c>
    </row>
    <row r="66" spans="1:3" ht="51" x14ac:dyDescent="0.2">
      <c r="A66" s="90" t="s">
        <v>1139</v>
      </c>
      <c r="B66" s="74" t="s">
        <v>1177</v>
      </c>
      <c r="C66" s="81">
        <f>1903*1.15</f>
        <v>2188.4499999999998</v>
      </c>
    </row>
    <row r="67" spans="1:3" x14ac:dyDescent="0.2">
      <c r="A67" s="90" t="s">
        <v>1139</v>
      </c>
      <c r="B67" s="74" t="s">
        <v>1178</v>
      </c>
      <c r="C67" s="81">
        <v>58980.9</v>
      </c>
    </row>
    <row r="68" spans="1:3" ht="25.5" x14ac:dyDescent="0.2">
      <c r="A68" s="90" t="s">
        <v>1139</v>
      </c>
      <c r="B68" s="74" t="s">
        <v>1179</v>
      </c>
      <c r="C68" s="81">
        <v>1683.92</v>
      </c>
    </row>
    <row r="69" spans="1:3" x14ac:dyDescent="0.2">
      <c r="A69" s="90" t="s">
        <v>1139</v>
      </c>
      <c r="B69" s="74" t="s">
        <v>1180</v>
      </c>
      <c r="C69" s="81">
        <v>4510.75</v>
      </c>
    </row>
    <row r="70" spans="1:3" x14ac:dyDescent="0.2">
      <c r="A70" s="90" t="s">
        <v>1139</v>
      </c>
      <c r="B70" s="74" t="s">
        <v>1181</v>
      </c>
      <c r="C70" s="81">
        <f>4330*1.15</f>
        <v>4979.5</v>
      </c>
    </row>
    <row r="71" spans="1:3" x14ac:dyDescent="0.2">
      <c r="A71" s="90" t="s">
        <v>1139</v>
      </c>
      <c r="B71" s="74" t="s">
        <v>1182</v>
      </c>
      <c r="C71" s="81">
        <f>1200*1.15</f>
        <v>1380</v>
      </c>
    </row>
    <row r="72" spans="1:3" x14ac:dyDescent="0.2">
      <c r="A72" s="90" t="s">
        <v>1139</v>
      </c>
      <c r="B72" s="74" t="s">
        <v>1183</v>
      </c>
      <c r="C72" s="81">
        <f>1013*1.15</f>
        <v>1164.9499999999998</v>
      </c>
    </row>
    <row r="73" spans="1:3" x14ac:dyDescent="0.2">
      <c r="A73" s="90" t="s">
        <v>1139</v>
      </c>
      <c r="B73" s="74" t="s">
        <v>1184</v>
      </c>
      <c r="C73" s="81">
        <f>165885*1.15</f>
        <v>190767.74999999997</v>
      </c>
    </row>
    <row r="74" spans="1:3" x14ac:dyDescent="0.2">
      <c r="A74" s="90" t="s">
        <v>1139</v>
      </c>
      <c r="B74" s="74" t="s">
        <v>1185</v>
      </c>
      <c r="C74" s="81">
        <f>17250*1.15</f>
        <v>19837.5</v>
      </c>
    </row>
    <row r="75" spans="1:3" ht="114.75" x14ac:dyDescent="0.2">
      <c r="A75" s="90" t="s">
        <v>1139</v>
      </c>
      <c r="B75" s="74" t="s">
        <v>1186</v>
      </c>
      <c r="C75" s="81">
        <v>47261.32</v>
      </c>
    </row>
    <row r="76" spans="1:3" x14ac:dyDescent="0.2">
      <c r="A76" s="90" t="s">
        <v>1139</v>
      </c>
      <c r="B76" s="74" t="s">
        <v>1187</v>
      </c>
      <c r="C76" s="81">
        <v>6885</v>
      </c>
    </row>
    <row r="77" spans="1:3" x14ac:dyDescent="0.2">
      <c r="A77" s="90" t="s">
        <v>1139</v>
      </c>
      <c r="B77" s="74" t="s">
        <v>1188</v>
      </c>
      <c r="C77" s="81">
        <v>3485</v>
      </c>
    </row>
    <row r="78" spans="1:3" ht="153" x14ac:dyDescent="0.2">
      <c r="A78" s="90" t="s">
        <v>1139</v>
      </c>
      <c r="B78" s="74" t="s">
        <v>1189</v>
      </c>
      <c r="C78" s="81">
        <v>139966.5</v>
      </c>
    </row>
    <row r="79" spans="1:3" x14ac:dyDescent="0.2">
      <c r="A79" s="90" t="s">
        <v>1139</v>
      </c>
      <c r="B79" s="74" t="s">
        <v>1190</v>
      </c>
      <c r="C79" s="81">
        <f>10700*1.15</f>
        <v>12304.999999999998</v>
      </c>
    </row>
    <row r="80" spans="1:3" x14ac:dyDescent="0.2">
      <c r="A80" s="90" t="s">
        <v>1139</v>
      </c>
      <c r="B80" s="74" t="s">
        <v>1191</v>
      </c>
      <c r="C80" s="81">
        <f>4356.68*1.15</f>
        <v>5010.1819999999998</v>
      </c>
    </row>
    <row r="81" spans="1:3" x14ac:dyDescent="0.2">
      <c r="A81" s="90" t="s">
        <v>1139</v>
      </c>
      <c r="B81" s="74" t="s">
        <v>1192</v>
      </c>
      <c r="C81" s="81">
        <f>977*1.15</f>
        <v>1123.55</v>
      </c>
    </row>
    <row r="82" spans="1:3" x14ac:dyDescent="0.2">
      <c r="A82" s="90" t="s">
        <v>1139</v>
      </c>
      <c r="B82" s="74" t="s">
        <v>1193</v>
      </c>
      <c r="C82" s="81">
        <f>316.7*1.15</f>
        <v>364.20499999999998</v>
      </c>
    </row>
    <row r="83" spans="1:3" x14ac:dyDescent="0.2">
      <c r="A83" s="90" t="s">
        <v>1139</v>
      </c>
      <c r="B83" s="74" t="s">
        <v>1194</v>
      </c>
      <c r="C83" s="81">
        <f>5070*1.15</f>
        <v>5830.5</v>
      </c>
    </row>
    <row r="84" spans="1:3" x14ac:dyDescent="0.2">
      <c r="A84" s="90" t="s">
        <v>1139</v>
      </c>
      <c r="B84" s="74" t="s">
        <v>1195</v>
      </c>
      <c r="C84" s="81">
        <f>13739.13*1.15</f>
        <v>15799.999499999998</v>
      </c>
    </row>
    <row r="85" spans="1:3" x14ac:dyDescent="0.2">
      <c r="A85" s="90" t="s">
        <v>1139</v>
      </c>
      <c r="B85" s="74" t="s">
        <v>1196</v>
      </c>
      <c r="C85" s="81">
        <v>6521.73</v>
      </c>
    </row>
    <row r="86" spans="1:3" x14ac:dyDescent="0.2">
      <c r="A86" s="90" t="s">
        <v>1139</v>
      </c>
      <c r="B86" s="74" t="s">
        <v>1197</v>
      </c>
      <c r="C86" s="81">
        <v>4490</v>
      </c>
    </row>
    <row r="87" spans="1:3" x14ac:dyDescent="0.2">
      <c r="A87" s="90" t="s">
        <v>1139</v>
      </c>
      <c r="B87" s="74" t="s">
        <v>1198</v>
      </c>
      <c r="C87" s="81">
        <v>3450</v>
      </c>
    </row>
    <row r="88" spans="1:3" ht="25.5" x14ac:dyDescent="0.2">
      <c r="A88" s="90" t="s">
        <v>1139</v>
      </c>
      <c r="B88" s="74" t="s">
        <v>1199</v>
      </c>
      <c r="C88" s="81">
        <v>7063.48</v>
      </c>
    </row>
    <row r="89" spans="1:3" x14ac:dyDescent="0.2">
      <c r="A89" s="90" t="s">
        <v>1139</v>
      </c>
      <c r="B89" s="74" t="s">
        <v>1200</v>
      </c>
      <c r="C89" s="81">
        <v>13365</v>
      </c>
    </row>
    <row r="90" spans="1:3" x14ac:dyDescent="0.2">
      <c r="A90" s="90" t="s">
        <v>1139</v>
      </c>
      <c r="B90" s="74" t="s">
        <v>1201</v>
      </c>
      <c r="C90" s="81">
        <v>7970</v>
      </c>
    </row>
    <row r="91" spans="1:3" x14ac:dyDescent="0.2">
      <c r="A91" s="90" t="s">
        <v>1139</v>
      </c>
      <c r="B91" s="74" t="s">
        <v>1202</v>
      </c>
      <c r="C91" s="81">
        <v>3168</v>
      </c>
    </row>
    <row r="92" spans="1:3" x14ac:dyDescent="0.2">
      <c r="A92" s="90" t="s">
        <v>1139</v>
      </c>
      <c r="B92" s="74" t="s">
        <v>1202</v>
      </c>
      <c r="C92" s="81">
        <v>3168</v>
      </c>
    </row>
    <row r="93" spans="1:3" x14ac:dyDescent="0.2">
      <c r="A93" s="90" t="s">
        <v>1139</v>
      </c>
      <c r="B93" s="74" t="s">
        <v>1202</v>
      </c>
      <c r="C93" s="81">
        <v>3168</v>
      </c>
    </row>
    <row r="94" spans="1:3" ht="51" x14ac:dyDescent="0.2">
      <c r="A94" s="90" t="s">
        <v>1139</v>
      </c>
      <c r="B94" s="74" t="s">
        <v>1203</v>
      </c>
      <c r="C94" s="81">
        <v>74628</v>
      </c>
    </row>
    <row r="95" spans="1:3" ht="38.25" x14ac:dyDescent="0.2">
      <c r="A95" s="90" t="s">
        <v>1139</v>
      </c>
      <c r="B95" s="74" t="s">
        <v>1204</v>
      </c>
      <c r="C95" s="81">
        <v>2500</v>
      </c>
    </row>
    <row r="96" spans="1:3" ht="89.25" x14ac:dyDescent="0.2">
      <c r="A96" s="90" t="s">
        <v>1139</v>
      </c>
      <c r="B96" s="74" t="s">
        <v>1205</v>
      </c>
      <c r="C96" s="81">
        <v>101000</v>
      </c>
    </row>
    <row r="97" spans="1:3" ht="25.5" x14ac:dyDescent="0.2">
      <c r="A97" s="90" t="s">
        <v>1139</v>
      </c>
      <c r="B97" s="74" t="s">
        <v>1206</v>
      </c>
      <c r="C97" s="81">
        <v>1215.5</v>
      </c>
    </row>
    <row r="98" spans="1:3" ht="25.5" x14ac:dyDescent="0.2">
      <c r="A98" s="90" t="s">
        <v>1139</v>
      </c>
      <c r="B98" s="74" t="s">
        <v>1206</v>
      </c>
      <c r="C98" s="81">
        <v>1215.5</v>
      </c>
    </row>
    <row r="99" spans="1:3" x14ac:dyDescent="0.2">
      <c r="A99" s="90" t="s">
        <v>1139</v>
      </c>
      <c r="B99" s="74" t="s">
        <v>1207</v>
      </c>
      <c r="C99" s="81">
        <v>73404.009999999995</v>
      </c>
    </row>
    <row r="100" spans="1:3" ht="13.5" thickBot="1" x14ac:dyDescent="0.25">
      <c r="A100" s="63"/>
      <c r="B100" s="64"/>
      <c r="C100" s="64"/>
    </row>
    <row r="101" spans="1:3" ht="17.25" customHeight="1" x14ac:dyDescent="0.2">
      <c r="A101" s="65"/>
      <c r="B101" s="65"/>
      <c r="C101" s="65"/>
    </row>
    <row r="104" spans="1:3" x14ac:dyDescent="0.2">
      <c r="B104" s="54"/>
      <c r="C104" s="54"/>
    </row>
    <row r="105" spans="1:3" x14ac:dyDescent="0.2">
      <c r="B105" s="54"/>
      <c r="C105" s="54"/>
    </row>
    <row r="106" spans="1:3" x14ac:dyDescent="0.2">
      <c r="B106" s="54"/>
      <c r="C106" s="54"/>
    </row>
    <row r="107" spans="1:3" x14ac:dyDescent="0.2">
      <c r="B107" s="54"/>
      <c r="C107" s="54"/>
    </row>
    <row r="108" spans="1:3" x14ac:dyDescent="0.2">
      <c r="B108" s="54"/>
      <c r="C108" s="54"/>
    </row>
    <row r="109" spans="1:3" x14ac:dyDescent="0.2">
      <c r="B109" s="54"/>
      <c r="C109" s="54"/>
    </row>
    <row r="110" spans="1:3" x14ac:dyDescent="0.2">
      <c r="B110" s="54"/>
      <c r="C110" s="54"/>
    </row>
    <row r="111" spans="1:3" x14ac:dyDescent="0.2">
      <c r="B111" s="54"/>
      <c r="C111" s="54"/>
    </row>
    <row r="112" spans="1:3" x14ac:dyDescent="0.2">
      <c r="B112" s="54"/>
      <c r="C112" s="54"/>
    </row>
    <row r="113" spans="2:3" x14ac:dyDescent="0.2">
      <c r="B113" s="54"/>
      <c r="C113" s="54"/>
    </row>
    <row r="114" spans="2:3" x14ac:dyDescent="0.2">
      <c r="B114" s="54"/>
      <c r="C114" s="54"/>
    </row>
    <row r="115" spans="2:3" x14ac:dyDescent="0.2">
      <c r="B115" s="54"/>
      <c r="C115" s="54"/>
    </row>
    <row r="116" spans="2:3" x14ac:dyDescent="0.2">
      <c r="B116" s="54"/>
      <c r="C116" s="54"/>
    </row>
    <row r="117" spans="2:3" x14ac:dyDescent="0.2">
      <c r="B117" s="54"/>
      <c r="C117" s="54"/>
    </row>
    <row r="118" spans="2:3" x14ac:dyDescent="0.2">
      <c r="B118" s="54"/>
      <c r="C118" s="54"/>
    </row>
    <row r="119" spans="2:3" x14ac:dyDescent="0.2">
      <c r="B119" s="54"/>
      <c r="C119" s="54"/>
    </row>
    <row r="120" spans="2:3" x14ac:dyDescent="0.2">
      <c r="B120" s="54"/>
      <c r="C120" s="54"/>
    </row>
    <row r="121" spans="2:3" x14ac:dyDescent="0.2">
      <c r="B121" s="54"/>
      <c r="C121" s="54"/>
    </row>
    <row r="122" spans="2:3" x14ac:dyDescent="0.2">
      <c r="B122" s="54"/>
      <c r="C122" s="54"/>
    </row>
    <row r="123" spans="2:3" x14ac:dyDescent="0.2">
      <c r="B123" s="54"/>
      <c r="C123" s="54"/>
    </row>
    <row r="124" spans="2:3" x14ac:dyDescent="0.2">
      <c r="B124" s="54"/>
      <c r="C124" s="54"/>
    </row>
    <row r="125" spans="2:3" x14ac:dyDescent="0.2">
      <c r="B125" s="54"/>
      <c r="C125" s="54"/>
    </row>
    <row r="126" spans="2:3" x14ac:dyDescent="0.2">
      <c r="B126" s="54"/>
      <c r="C126" s="54"/>
    </row>
    <row r="127" spans="2:3" x14ac:dyDescent="0.2">
      <c r="B127" s="54"/>
      <c r="C127" s="54"/>
    </row>
    <row r="128" spans="2:3" x14ac:dyDescent="0.2">
      <c r="B128" s="54"/>
      <c r="C128" s="54"/>
    </row>
    <row r="129" spans="1:3" x14ac:dyDescent="0.2">
      <c r="B129" s="54"/>
      <c r="C129" s="54"/>
    </row>
    <row r="130" spans="1:3" x14ac:dyDescent="0.2">
      <c r="B130" s="54"/>
      <c r="C130" s="54"/>
    </row>
    <row r="131" spans="1:3" x14ac:dyDescent="0.2">
      <c r="B131" s="54"/>
      <c r="C131" s="54"/>
    </row>
    <row r="132" spans="1:3" x14ac:dyDescent="0.2">
      <c r="B132" s="54"/>
      <c r="C132" s="54"/>
    </row>
    <row r="133" spans="1:3" x14ac:dyDescent="0.2">
      <c r="B133" s="54"/>
      <c r="C133" s="54"/>
    </row>
    <row r="134" spans="1:3" x14ac:dyDescent="0.2">
      <c r="B134" s="54"/>
      <c r="C134" s="54"/>
    </row>
    <row r="135" spans="1:3" x14ac:dyDescent="0.2">
      <c r="B135" s="54"/>
      <c r="C135" s="54"/>
    </row>
    <row r="136" spans="1:3" x14ac:dyDescent="0.2">
      <c r="B136" s="54"/>
      <c r="C136" s="54"/>
    </row>
    <row r="137" spans="1:3" x14ac:dyDescent="0.2">
      <c r="B137" s="54"/>
      <c r="C137" s="54"/>
    </row>
    <row r="138" spans="1:3" x14ac:dyDescent="0.2">
      <c r="B138" s="54"/>
      <c r="C138" s="54"/>
    </row>
    <row r="139" spans="1:3" x14ac:dyDescent="0.2">
      <c r="A139" s="66"/>
    </row>
    <row r="140" spans="1:3" x14ac:dyDescent="0.2">
      <c r="A140" s="66"/>
      <c r="B140" s="67"/>
    </row>
    <row r="141" spans="1:3" ht="12.75" customHeight="1" x14ac:dyDescent="0.2">
      <c r="A141" s="66"/>
      <c r="B141" s="71"/>
      <c r="C141" s="71"/>
    </row>
    <row r="142" spans="1:3" ht="12.75" customHeight="1" x14ac:dyDescent="0.2">
      <c r="B142" s="71"/>
      <c r="C142" s="71"/>
    </row>
    <row r="153" s="68" customFormat="1" ht="11.25" x14ac:dyDescent="0.2"/>
  </sheetData>
  <printOptions horizontalCentered="1"/>
  <pageMargins left="0.35433070866141736" right="3.937007874015748E-2" top="0.51181102362204722" bottom="0.62992125984251968" header="0" footer="0"/>
  <pageSetup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42"/>
  <sheetViews>
    <sheetView showGridLines="0" zoomScaleNormal="100" workbookViewId="0">
      <pane ySplit="6" topLeftCell="A508" activePane="bottomLeft" state="frozen"/>
      <selection pane="bottomLeft" activeCell="F510" sqref="F510"/>
    </sheetView>
  </sheetViews>
  <sheetFormatPr baseColWidth="10" defaultRowHeight="12.75" x14ac:dyDescent="0.2"/>
  <cols>
    <col min="1" max="1" width="31.140625" style="50" customWidth="1"/>
    <col min="2" max="2" width="60.5703125" style="50" customWidth="1"/>
    <col min="3" max="3" width="30.140625" style="50" customWidth="1"/>
    <col min="4" max="16384" width="11.42578125" style="50"/>
  </cols>
  <sheetData>
    <row r="1" spans="1:8" ht="15.75" customHeight="1" x14ac:dyDescent="0.25">
      <c r="A1" s="55"/>
      <c r="B1" s="55"/>
      <c r="C1" s="72" t="s">
        <v>150</v>
      </c>
      <c r="D1" s="53"/>
      <c r="E1" s="53"/>
      <c r="F1" s="53"/>
      <c r="G1" s="53"/>
      <c r="H1" s="53"/>
    </row>
    <row r="2" spans="1:8" ht="23.25" customHeight="1" x14ac:dyDescent="0.25">
      <c r="A2" s="51" t="s">
        <v>314</v>
      </c>
      <c r="B2" s="52"/>
      <c r="C2" s="52"/>
      <c r="D2" s="53"/>
      <c r="E2" s="53"/>
      <c r="F2" s="53"/>
      <c r="G2" s="53"/>
      <c r="H2" s="53"/>
    </row>
    <row r="3" spans="1:8" ht="15" x14ac:dyDescent="0.25">
      <c r="A3" s="51" t="s">
        <v>152</v>
      </c>
      <c r="B3" s="51"/>
      <c r="C3" s="51"/>
    </row>
    <row r="4" spans="1:8" ht="12.75" customHeight="1" x14ac:dyDescent="0.25">
      <c r="A4" s="56"/>
      <c r="B4" s="56"/>
      <c r="C4" s="56"/>
    </row>
    <row r="5" spans="1:8" ht="13.5" thickBot="1" x14ac:dyDescent="0.25">
      <c r="A5" s="57" t="s">
        <v>20</v>
      </c>
      <c r="B5" s="57" t="s">
        <v>21</v>
      </c>
      <c r="C5" s="57" t="s">
        <v>16</v>
      </c>
    </row>
    <row r="6" spans="1:8" ht="31.5" customHeight="1" thickBot="1" x14ac:dyDescent="0.25">
      <c r="A6" s="69" t="s">
        <v>148</v>
      </c>
      <c r="B6" s="70" t="s">
        <v>132</v>
      </c>
      <c r="C6" s="70" t="s">
        <v>149</v>
      </c>
    </row>
    <row r="7" spans="1:8" x14ac:dyDescent="0.2">
      <c r="A7" s="90" t="s">
        <v>1208</v>
      </c>
      <c r="B7" s="74" t="s">
        <v>1209</v>
      </c>
      <c r="C7" s="81">
        <f t="shared" ref="C7:C24" si="0">33*1.15</f>
        <v>37.949999999999996</v>
      </c>
    </row>
    <row r="8" spans="1:8" x14ac:dyDescent="0.2">
      <c r="A8" s="90" t="s">
        <v>1208</v>
      </c>
      <c r="B8" s="74" t="s">
        <v>1209</v>
      </c>
      <c r="C8" s="81">
        <f>33*1.15+0.01</f>
        <v>37.959999999999994</v>
      </c>
    </row>
    <row r="9" spans="1:8" x14ac:dyDescent="0.2">
      <c r="A9" s="90" t="s">
        <v>1208</v>
      </c>
      <c r="B9" s="74" t="s">
        <v>1209</v>
      </c>
      <c r="C9" s="81">
        <f t="shared" si="0"/>
        <v>37.949999999999996</v>
      </c>
    </row>
    <row r="10" spans="1:8" x14ac:dyDescent="0.2">
      <c r="A10" s="90" t="s">
        <v>1208</v>
      </c>
      <c r="B10" s="74" t="s">
        <v>1209</v>
      </c>
      <c r="C10" s="81">
        <f t="shared" si="0"/>
        <v>37.949999999999996</v>
      </c>
    </row>
    <row r="11" spans="1:8" x14ac:dyDescent="0.2">
      <c r="A11" s="90" t="s">
        <v>1208</v>
      </c>
      <c r="B11" s="74" t="s">
        <v>1209</v>
      </c>
      <c r="C11" s="81">
        <f t="shared" si="0"/>
        <v>37.949999999999996</v>
      </c>
    </row>
    <row r="12" spans="1:8" x14ac:dyDescent="0.2">
      <c r="A12" s="90" t="s">
        <v>1208</v>
      </c>
      <c r="B12" s="74" t="s">
        <v>1209</v>
      </c>
      <c r="C12" s="81">
        <f t="shared" si="0"/>
        <v>37.949999999999996</v>
      </c>
    </row>
    <row r="13" spans="1:8" x14ac:dyDescent="0.2">
      <c r="A13" s="90" t="s">
        <v>1208</v>
      </c>
      <c r="B13" s="74" t="s">
        <v>1209</v>
      </c>
      <c r="C13" s="81">
        <f t="shared" si="0"/>
        <v>37.949999999999996</v>
      </c>
    </row>
    <row r="14" spans="1:8" x14ac:dyDescent="0.2">
      <c r="A14" s="90" t="s">
        <v>1208</v>
      </c>
      <c r="B14" s="74" t="s">
        <v>1209</v>
      </c>
      <c r="C14" s="81">
        <f t="shared" si="0"/>
        <v>37.949999999999996</v>
      </c>
    </row>
    <row r="15" spans="1:8" x14ac:dyDescent="0.2">
      <c r="A15" s="90" t="s">
        <v>1208</v>
      </c>
      <c r="B15" s="74" t="s">
        <v>1209</v>
      </c>
      <c r="C15" s="81">
        <f t="shared" si="0"/>
        <v>37.949999999999996</v>
      </c>
    </row>
    <row r="16" spans="1:8" x14ac:dyDescent="0.2">
      <c r="A16" s="90" t="s">
        <v>1208</v>
      </c>
      <c r="B16" s="74" t="s">
        <v>1209</v>
      </c>
      <c r="C16" s="81">
        <f t="shared" si="0"/>
        <v>37.949999999999996</v>
      </c>
    </row>
    <row r="17" spans="1:3" x14ac:dyDescent="0.2">
      <c r="A17" s="90" t="s">
        <v>1208</v>
      </c>
      <c r="B17" s="74" t="s">
        <v>1209</v>
      </c>
      <c r="C17" s="81">
        <f t="shared" si="0"/>
        <v>37.949999999999996</v>
      </c>
    </row>
    <row r="18" spans="1:3" x14ac:dyDescent="0.2">
      <c r="A18" s="90" t="s">
        <v>1208</v>
      </c>
      <c r="B18" s="74" t="s">
        <v>1209</v>
      </c>
      <c r="C18" s="81">
        <f t="shared" si="0"/>
        <v>37.949999999999996</v>
      </c>
    </row>
    <row r="19" spans="1:3" x14ac:dyDescent="0.2">
      <c r="A19" s="90" t="s">
        <v>1208</v>
      </c>
      <c r="B19" s="74" t="s">
        <v>1209</v>
      </c>
      <c r="C19" s="81">
        <f t="shared" si="0"/>
        <v>37.949999999999996</v>
      </c>
    </row>
    <row r="20" spans="1:3" x14ac:dyDescent="0.2">
      <c r="A20" s="90" t="s">
        <v>1208</v>
      </c>
      <c r="B20" s="74" t="s">
        <v>1209</v>
      </c>
      <c r="C20" s="81">
        <f t="shared" si="0"/>
        <v>37.949999999999996</v>
      </c>
    </row>
    <row r="21" spans="1:3" x14ac:dyDescent="0.2">
      <c r="A21" s="90" t="s">
        <v>1208</v>
      </c>
      <c r="B21" s="74" t="s">
        <v>1209</v>
      </c>
      <c r="C21" s="81">
        <f t="shared" si="0"/>
        <v>37.949999999999996</v>
      </c>
    </row>
    <row r="22" spans="1:3" x14ac:dyDescent="0.2">
      <c r="A22" s="90" t="s">
        <v>1208</v>
      </c>
      <c r="B22" s="74" t="s">
        <v>1209</v>
      </c>
      <c r="C22" s="81">
        <f t="shared" si="0"/>
        <v>37.949999999999996</v>
      </c>
    </row>
    <row r="23" spans="1:3" x14ac:dyDescent="0.2">
      <c r="A23" s="90" t="s">
        <v>1208</v>
      </c>
      <c r="B23" s="74" t="s">
        <v>1209</v>
      </c>
      <c r="C23" s="81">
        <f t="shared" si="0"/>
        <v>37.949999999999996</v>
      </c>
    </row>
    <row r="24" spans="1:3" x14ac:dyDescent="0.2">
      <c r="A24" s="90" t="s">
        <v>1208</v>
      </c>
      <c r="B24" s="74" t="s">
        <v>1209</v>
      </c>
      <c r="C24" s="81">
        <f t="shared" si="0"/>
        <v>37.949999999999996</v>
      </c>
    </row>
    <row r="25" spans="1:3" x14ac:dyDescent="0.2">
      <c r="A25" s="90" t="s">
        <v>1208</v>
      </c>
      <c r="B25" s="74" t="s">
        <v>1210</v>
      </c>
      <c r="C25" s="81">
        <f t="shared" ref="C25:C30" si="1">127*1.15</f>
        <v>146.04999999999998</v>
      </c>
    </row>
    <row r="26" spans="1:3" x14ac:dyDescent="0.2">
      <c r="A26" s="90" t="s">
        <v>1208</v>
      </c>
      <c r="B26" s="74" t="s">
        <v>1210</v>
      </c>
      <c r="C26" s="81">
        <f t="shared" si="1"/>
        <v>146.04999999999998</v>
      </c>
    </row>
    <row r="27" spans="1:3" x14ac:dyDescent="0.2">
      <c r="A27" s="90" t="s">
        <v>1208</v>
      </c>
      <c r="B27" s="74" t="s">
        <v>1210</v>
      </c>
      <c r="C27" s="81">
        <f t="shared" si="1"/>
        <v>146.04999999999998</v>
      </c>
    </row>
    <row r="28" spans="1:3" x14ac:dyDescent="0.2">
      <c r="A28" s="90" t="s">
        <v>1208</v>
      </c>
      <c r="B28" s="74" t="s">
        <v>1210</v>
      </c>
      <c r="C28" s="81">
        <f t="shared" si="1"/>
        <v>146.04999999999998</v>
      </c>
    </row>
    <row r="29" spans="1:3" x14ac:dyDescent="0.2">
      <c r="A29" s="90" t="s">
        <v>1208</v>
      </c>
      <c r="B29" s="74" t="s">
        <v>1210</v>
      </c>
      <c r="C29" s="81">
        <f t="shared" si="1"/>
        <v>146.04999999999998</v>
      </c>
    </row>
    <row r="30" spans="1:3" x14ac:dyDescent="0.2">
      <c r="A30" s="90" t="s">
        <v>1208</v>
      </c>
      <c r="B30" s="74" t="s">
        <v>1210</v>
      </c>
      <c r="C30" s="81">
        <f t="shared" si="1"/>
        <v>146.04999999999998</v>
      </c>
    </row>
    <row r="31" spans="1:3" x14ac:dyDescent="0.2">
      <c r="A31" s="90" t="s">
        <v>1208</v>
      </c>
      <c r="B31" s="74" t="s">
        <v>1211</v>
      </c>
      <c r="C31" s="81">
        <v>87.68</v>
      </c>
    </row>
    <row r="32" spans="1:3" x14ac:dyDescent="0.2">
      <c r="A32" s="90" t="s">
        <v>1208</v>
      </c>
      <c r="B32" s="74" t="s">
        <v>1211</v>
      </c>
      <c r="C32" s="81">
        <v>87.68</v>
      </c>
    </row>
    <row r="33" spans="1:3" x14ac:dyDescent="0.2">
      <c r="A33" s="90" t="s">
        <v>1208</v>
      </c>
      <c r="B33" s="74" t="s">
        <v>1211</v>
      </c>
      <c r="C33" s="81">
        <v>87.68</v>
      </c>
    </row>
    <row r="34" spans="1:3" x14ac:dyDescent="0.2">
      <c r="A34" s="90" t="s">
        <v>1208</v>
      </c>
      <c r="B34" s="74" t="s">
        <v>1211</v>
      </c>
      <c r="C34" s="81">
        <v>87.68</v>
      </c>
    </row>
    <row r="35" spans="1:3" x14ac:dyDescent="0.2">
      <c r="A35" s="90" t="s">
        <v>1208</v>
      </c>
      <c r="B35" s="74" t="s">
        <v>1212</v>
      </c>
      <c r="C35" s="81">
        <v>87.68</v>
      </c>
    </row>
    <row r="36" spans="1:3" x14ac:dyDescent="0.2">
      <c r="A36" s="90" t="s">
        <v>1208</v>
      </c>
      <c r="B36" s="74" t="s">
        <v>1212</v>
      </c>
      <c r="C36" s="81">
        <v>87.68</v>
      </c>
    </row>
    <row r="37" spans="1:3" x14ac:dyDescent="0.2">
      <c r="A37" s="90" t="s">
        <v>1208</v>
      </c>
      <c r="B37" s="74" t="s">
        <v>1212</v>
      </c>
      <c r="C37" s="81">
        <v>87.68</v>
      </c>
    </row>
    <row r="38" spans="1:3" x14ac:dyDescent="0.2">
      <c r="A38" s="90" t="s">
        <v>1208</v>
      </c>
      <c r="B38" s="74" t="s">
        <v>1212</v>
      </c>
      <c r="C38" s="81">
        <v>87.68</v>
      </c>
    </row>
    <row r="39" spans="1:3" x14ac:dyDescent="0.2">
      <c r="A39" s="90" t="s">
        <v>1208</v>
      </c>
      <c r="B39" s="74" t="s">
        <v>1212</v>
      </c>
      <c r="C39" s="81">
        <v>87.68</v>
      </c>
    </row>
    <row r="40" spans="1:3" x14ac:dyDescent="0.2">
      <c r="A40" s="90" t="s">
        <v>1208</v>
      </c>
      <c r="B40" s="74" t="s">
        <v>1213</v>
      </c>
      <c r="C40" s="81">
        <v>87.68</v>
      </c>
    </row>
    <row r="41" spans="1:3" x14ac:dyDescent="0.2">
      <c r="A41" s="90" t="s">
        <v>1208</v>
      </c>
      <c r="B41" s="74" t="s">
        <v>1213</v>
      </c>
      <c r="C41" s="81">
        <v>87.68</v>
      </c>
    </row>
    <row r="42" spans="1:3" x14ac:dyDescent="0.2">
      <c r="A42" s="90" t="s">
        <v>1208</v>
      </c>
      <c r="B42" s="74" t="s">
        <v>1214</v>
      </c>
      <c r="C42" s="81">
        <v>87.68</v>
      </c>
    </row>
    <row r="43" spans="1:3" x14ac:dyDescent="0.2">
      <c r="A43" s="90" t="s">
        <v>1208</v>
      </c>
      <c r="B43" s="74" t="s">
        <v>1214</v>
      </c>
      <c r="C43" s="81">
        <v>87.68</v>
      </c>
    </row>
    <row r="44" spans="1:3" x14ac:dyDescent="0.2">
      <c r="A44" s="90" t="s">
        <v>1208</v>
      </c>
      <c r="B44" s="74" t="s">
        <v>1214</v>
      </c>
      <c r="C44" s="81">
        <v>87.68</v>
      </c>
    </row>
    <row r="45" spans="1:3" ht="25.5" x14ac:dyDescent="0.2">
      <c r="A45" s="90" t="s">
        <v>1208</v>
      </c>
      <c r="B45" s="74" t="s">
        <v>1215</v>
      </c>
      <c r="C45" s="81">
        <v>5414.88</v>
      </c>
    </row>
    <row r="46" spans="1:3" x14ac:dyDescent="0.2">
      <c r="A46" s="90" t="s">
        <v>1208</v>
      </c>
      <c r="B46" s="74" t="s">
        <v>1216</v>
      </c>
      <c r="C46" s="81">
        <v>566.95000000000005</v>
      </c>
    </row>
    <row r="47" spans="1:3" x14ac:dyDescent="0.2">
      <c r="A47" s="90" t="s">
        <v>1208</v>
      </c>
      <c r="B47" s="74" t="s">
        <v>1217</v>
      </c>
      <c r="C47" s="81">
        <v>473.59</v>
      </c>
    </row>
    <row r="48" spans="1:3" x14ac:dyDescent="0.2">
      <c r="A48" s="90" t="s">
        <v>1208</v>
      </c>
      <c r="B48" s="74" t="s">
        <v>1218</v>
      </c>
      <c r="C48" s="81">
        <v>315.45999999999998</v>
      </c>
    </row>
    <row r="49" spans="1:3" ht="89.25" x14ac:dyDescent="0.2">
      <c r="A49" s="90" t="s">
        <v>1208</v>
      </c>
      <c r="B49" s="74" t="s">
        <v>1219</v>
      </c>
      <c r="C49" s="81">
        <v>1484.11</v>
      </c>
    </row>
    <row r="50" spans="1:3" x14ac:dyDescent="0.2">
      <c r="A50" s="90" t="s">
        <v>1208</v>
      </c>
      <c r="B50" s="74" t="s">
        <v>1220</v>
      </c>
      <c r="C50" s="81">
        <v>77989.37</v>
      </c>
    </row>
    <row r="51" spans="1:3" x14ac:dyDescent="0.2">
      <c r="A51" s="90" t="s">
        <v>1208</v>
      </c>
      <c r="B51" s="74" t="s">
        <v>1221</v>
      </c>
      <c r="C51" s="81">
        <v>13732.7</v>
      </c>
    </row>
    <row r="52" spans="1:3" x14ac:dyDescent="0.2">
      <c r="A52" s="90" t="s">
        <v>1208</v>
      </c>
      <c r="B52" s="74" t="s">
        <v>1222</v>
      </c>
      <c r="C52" s="81">
        <f>117*1.15</f>
        <v>134.54999999999998</v>
      </c>
    </row>
    <row r="53" spans="1:3" x14ac:dyDescent="0.2">
      <c r="A53" s="90" t="s">
        <v>1208</v>
      </c>
      <c r="B53" s="74" t="s">
        <v>1222</v>
      </c>
      <c r="C53" s="81">
        <f>117*1.15</f>
        <v>134.54999999999998</v>
      </c>
    </row>
    <row r="54" spans="1:3" x14ac:dyDescent="0.2">
      <c r="A54" s="90" t="s">
        <v>1208</v>
      </c>
      <c r="B54" s="74" t="s">
        <v>1222</v>
      </c>
      <c r="C54" s="81">
        <f>117*1.15</f>
        <v>134.54999999999998</v>
      </c>
    </row>
    <row r="55" spans="1:3" x14ac:dyDescent="0.2">
      <c r="A55" s="90" t="s">
        <v>1208</v>
      </c>
      <c r="B55" s="74" t="s">
        <v>1222</v>
      </c>
      <c r="C55" s="81">
        <f>117*1.15</f>
        <v>134.54999999999998</v>
      </c>
    </row>
    <row r="56" spans="1:3" x14ac:dyDescent="0.2">
      <c r="A56" s="90" t="s">
        <v>1208</v>
      </c>
      <c r="B56" s="74" t="s">
        <v>1223</v>
      </c>
      <c r="C56" s="81">
        <v>7641.68</v>
      </c>
    </row>
    <row r="57" spans="1:3" x14ac:dyDescent="0.2">
      <c r="A57" s="90" t="s">
        <v>1208</v>
      </c>
      <c r="B57" s="74" t="s">
        <v>1224</v>
      </c>
      <c r="C57" s="81">
        <f>34324.04*1.15</f>
        <v>39472.646000000001</v>
      </c>
    </row>
    <row r="58" spans="1:3" x14ac:dyDescent="0.2">
      <c r="A58" s="90" t="s">
        <v>1208</v>
      </c>
      <c r="B58" s="74" t="s">
        <v>1225</v>
      </c>
      <c r="C58" s="81">
        <f>34.57*1.15</f>
        <v>39.755499999999998</v>
      </c>
    </row>
    <row r="59" spans="1:3" x14ac:dyDescent="0.2">
      <c r="A59" s="90" t="s">
        <v>1208</v>
      </c>
      <c r="B59" s="74" t="s">
        <v>1226</v>
      </c>
      <c r="C59" s="81">
        <f>102.87*1.15</f>
        <v>118.3005</v>
      </c>
    </row>
    <row r="60" spans="1:3" x14ac:dyDescent="0.2">
      <c r="A60" s="90" t="s">
        <v>1208</v>
      </c>
      <c r="B60" s="74" t="s">
        <v>1227</v>
      </c>
      <c r="C60" s="81">
        <f>249*1.15</f>
        <v>286.34999999999997</v>
      </c>
    </row>
    <row r="61" spans="1:3" x14ac:dyDescent="0.2">
      <c r="A61" s="90" t="s">
        <v>1208</v>
      </c>
      <c r="B61" s="74" t="s">
        <v>1228</v>
      </c>
      <c r="C61" s="81">
        <v>4340.1000000000004</v>
      </c>
    </row>
    <row r="62" spans="1:3" x14ac:dyDescent="0.2">
      <c r="A62" s="90" t="s">
        <v>1208</v>
      </c>
      <c r="B62" s="74" t="s">
        <v>1228</v>
      </c>
      <c r="C62" s="81">
        <v>4340.1000000000004</v>
      </c>
    </row>
    <row r="63" spans="1:3" x14ac:dyDescent="0.2">
      <c r="A63" s="90" t="s">
        <v>1208</v>
      </c>
      <c r="B63" s="74" t="s">
        <v>1228</v>
      </c>
      <c r="C63" s="81">
        <v>4340.1000000000004</v>
      </c>
    </row>
    <row r="64" spans="1:3" ht="15.75" customHeight="1" x14ac:dyDescent="0.2">
      <c r="A64" s="90" t="s">
        <v>1208</v>
      </c>
      <c r="B64" s="74" t="s">
        <v>1229</v>
      </c>
      <c r="C64" s="81">
        <v>15299</v>
      </c>
    </row>
    <row r="65" spans="1:3" ht="30.75" customHeight="1" x14ac:dyDescent="0.2">
      <c r="A65" s="90" t="s">
        <v>1208</v>
      </c>
      <c r="B65" s="74" t="s">
        <v>1230</v>
      </c>
      <c r="C65" s="81">
        <v>9300</v>
      </c>
    </row>
    <row r="66" spans="1:3" ht="17.25" customHeight="1" x14ac:dyDescent="0.2">
      <c r="A66" s="90" t="s">
        <v>1208</v>
      </c>
      <c r="B66" s="74" t="s">
        <v>1231</v>
      </c>
      <c r="C66" s="81">
        <v>9300</v>
      </c>
    </row>
    <row r="67" spans="1:3" ht="30.75" customHeight="1" x14ac:dyDescent="0.2">
      <c r="A67" s="90" t="s">
        <v>1208</v>
      </c>
      <c r="B67" s="74" t="s">
        <v>1232</v>
      </c>
      <c r="C67" s="81">
        <v>11534.5</v>
      </c>
    </row>
    <row r="68" spans="1:3" x14ac:dyDescent="0.2">
      <c r="A68" s="90" t="s">
        <v>1208</v>
      </c>
      <c r="B68" s="74" t="s">
        <v>1233</v>
      </c>
      <c r="C68" s="81">
        <f>395*1.15</f>
        <v>454.24999999999994</v>
      </c>
    </row>
    <row r="69" spans="1:3" x14ac:dyDescent="0.2">
      <c r="A69" s="90" t="s">
        <v>1208</v>
      </c>
      <c r="B69" s="74" t="s">
        <v>1234</v>
      </c>
      <c r="C69" s="81">
        <v>1842.97</v>
      </c>
    </row>
    <row r="70" spans="1:3" x14ac:dyDescent="0.2">
      <c r="A70" s="90" t="s">
        <v>1208</v>
      </c>
      <c r="B70" s="74" t="s">
        <v>1234</v>
      </c>
      <c r="C70" s="81">
        <v>1842.97</v>
      </c>
    </row>
    <row r="71" spans="1:3" x14ac:dyDescent="0.2">
      <c r="A71" s="90" t="s">
        <v>1208</v>
      </c>
      <c r="B71" s="74" t="s">
        <v>1235</v>
      </c>
      <c r="C71" s="81">
        <v>518.08000000000004</v>
      </c>
    </row>
    <row r="72" spans="1:3" x14ac:dyDescent="0.2">
      <c r="A72" s="90" t="s">
        <v>1208</v>
      </c>
      <c r="B72" s="74" t="s">
        <v>1235</v>
      </c>
      <c r="C72" s="81">
        <v>518.08000000000004</v>
      </c>
    </row>
    <row r="73" spans="1:3" x14ac:dyDescent="0.2">
      <c r="A73" s="90" t="s">
        <v>1208</v>
      </c>
      <c r="B73" s="74" t="s">
        <v>1235</v>
      </c>
      <c r="C73" s="81">
        <v>518.08000000000004</v>
      </c>
    </row>
    <row r="74" spans="1:3" x14ac:dyDescent="0.2">
      <c r="A74" s="90" t="s">
        <v>1208</v>
      </c>
      <c r="B74" s="74" t="s">
        <v>1235</v>
      </c>
      <c r="C74" s="81">
        <v>518.08000000000004</v>
      </c>
    </row>
    <row r="75" spans="1:3" x14ac:dyDescent="0.2">
      <c r="A75" s="90" t="s">
        <v>1208</v>
      </c>
      <c r="B75" s="74" t="s">
        <v>1236</v>
      </c>
      <c r="C75" s="81">
        <v>518.08000000000004</v>
      </c>
    </row>
    <row r="76" spans="1:3" x14ac:dyDescent="0.2">
      <c r="A76" s="90" t="s">
        <v>1208</v>
      </c>
      <c r="B76" s="74" t="s">
        <v>1236</v>
      </c>
      <c r="C76" s="81">
        <v>518.08000000000004</v>
      </c>
    </row>
    <row r="77" spans="1:3" x14ac:dyDescent="0.2">
      <c r="A77" s="90" t="s">
        <v>1208</v>
      </c>
      <c r="B77" s="74" t="s">
        <v>1236</v>
      </c>
      <c r="C77" s="81">
        <v>518.08000000000004</v>
      </c>
    </row>
    <row r="78" spans="1:3" x14ac:dyDescent="0.2">
      <c r="A78" s="90" t="s">
        <v>1208</v>
      </c>
      <c r="B78" s="74" t="s">
        <v>1237</v>
      </c>
      <c r="C78" s="81">
        <v>518.08000000000004</v>
      </c>
    </row>
    <row r="79" spans="1:3" x14ac:dyDescent="0.2">
      <c r="A79" s="90" t="s">
        <v>1208</v>
      </c>
      <c r="B79" s="74" t="s">
        <v>1237</v>
      </c>
      <c r="C79" s="81">
        <v>518.08000000000004</v>
      </c>
    </row>
    <row r="80" spans="1:3" x14ac:dyDescent="0.2">
      <c r="A80" s="90" t="s">
        <v>1208</v>
      </c>
      <c r="B80" s="74" t="s">
        <v>1237</v>
      </c>
      <c r="C80" s="81">
        <v>518.08000000000004</v>
      </c>
    </row>
    <row r="81" spans="1:3" x14ac:dyDescent="0.2">
      <c r="A81" s="90" t="s">
        <v>1208</v>
      </c>
      <c r="B81" s="74" t="s">
        <v>1238</v>
      </c>
      <c r="C81" s="81">
        <v>518.08000000000004</v>
      </c>
    </row>
    <row r="82" spans="1:3" x14ac:dyDescent="0.2">
      <c r="A82" s="90" t="s">
        <v>1208</v>
      </c>
      <c r="B82" s="74" t="s">
        <v>1238</v>
      </c>
      <c r="C82" s="81">
        <v>518.08000000000004</v>
      </c>
    </row>
    <row r="83" spans="1:3" x14ac:dyDescent="0.2">
      <c r="A83" s="90" t="s">
        <v>1208</v>
      </c>
      <c r="B83" s="74" t="s">
        <v>1238</v>
      </c>
      <c r="C83" s="81">
        <v>518.08000000000004</v>
      </c>
    </row>
    <row r="84" spans="1:3" x14ac:dyDescent="0.2">
      <c r="A84" s="90" t="s">
        <v>1208</v>
      </c>
      <c r="B84" s="74" t="s">
        <v>1238</v>
      </c>
      <c r="C84" s="81">
        <v>518.08000000000004</v>
      </c>
    </row>
    <row r="85" spans="1:3" x14ac:dyDescent="0.2">
      <c r="A85" s="90" t="s">
        <v>1208</v>
      </c>
      <c r="B85" s="74" t="s">
        <v>1239</v>
      </c>
      <c r="C85" s="81">
        <f t="shared" ref="C85:C90" si="2">74.19*1.15</f>
        <v>85.318499999999986</v>
      </c>
    </row>
    <row r="86" spans="1:3" x14ac:dyDescent="0.2">
      <c r="A86" s="90" t="s">
        <v>1208</v>
      </c>
      <c r="B86" s="74" t="s">
        <v>1239</v>
      </c>
      <c r="C86" s="81">
        <f t="shared" si="2"/>
        <v>85.318499999999986</v>
      </c>
    </row>
    <row r="87" spans="1:3" x14ac:dyDescent="0.2">
      <c r="A87" s="90" t="s">
        <v>1208</v>
      </c>
      <c r="B87" s="74" t="s">
        <v>1239</v>
      </c>
      <c r="C87" s="81">
        <f t="shared" si="2"/>
        <v>85.318499999999986</v>
      </c>
    </row>
    <row r="88" spans="1:3" x14ac:dyDescent="0.2">
      <c r="A88" s="90" t="s">
        <v>1208</v>
      </c>
      <c r="B88" s="74" t="s">
        <v>1239</v>
      </c>
      <c r="C88" s="81">
        <f t="shared" si="2"/>
        <v>85.318499999999986</v>
      </c>
    </row>
    <row r="89" spans="1:3" x14ac:dyDescent="0.2">
      <c r="A89" s="90" t="s">
        <v>1208</v>
      </c>
      <c r="B89" s="74" t="s">
        <v>1239</v>
      </c>
      <c r="C89" s="81">
        <f t="shared" si="2"/>
        <v>85.318499999999986</v>
      </c>
    </row>
    <row r="90" spans="1:3" x14ac:dyDescent="0.2">
      <c r="A90" s="90" t="s">
        <v>1208</v>
      </c>
      <c r="B90" s="74" t="s">
        <v>1239</v>
      </c>
      <c r="C90" s="81">
        <f t="shared" si="2"/>
        <v>85.318499999999986</v>
      </c>
    </row>
    <row r="91" spans="1:3" ht="17.25" customHeight="1" x14ac:dyDescent="0.2">
      <c r="A91" s="90" t="s">
        <v>1208</v>
      </c>
      <c r="B91" s="74" t="s">
        <v>1240</v>
      </c>
      <c r="C91" s="81">
        <f>422.6*1.15</f>
        <v>485.99</v>
      </c>
    </row>
    <row r="92" spans="1:3" ht="15.75" customHeight="1" x14ac:dyDescent="0.2">
      <c r="A92" s="90" t="s">
        <v>1208</v>
      </c>
      <c r="B92" s="74" t="s">
        <v>1240</v>
      </c>
      <c r="C92" s="81">
        <f>422.6*1.15</f>
        <v>485.99</v>
      </c>
    </row>
    <row r="93" spans="1:3" x14ac:dyDescent="0.2">
      <c r="A93" s="90" t="s">
        <v>1208</v>
      </c>
      <c r="B93" s="74" t="s">
        <v>1241</v>
      </c>
      <c r="C93" s="81">
        <f t="shared" ref="C93:C110" si="3">57.01*1.15</f>
        <v>65.561499999999995</v>
      </c>
    </row>
    <row r="94" spans="1:3" x14ac:dyDescent="0.2">
      <c r="A94" s="90" t="s">
        <v>1208</v>
      </c>
      <c r="B94" s="74" t="s">
        <v>1241</v>
      </c>
      <c r="C94" s="81">
        <f t="shared" si="3"/>
        <v>65.561499999999995</v>
      </c>
    </row>
    <row r="95" spans="1:3" x14ac:dyDescent="0.2">
      <c r="A95" s="90" t="s">
        <v>1208</v>
      </c>
      <c r="B95" s="74" t="s">
        <v>1241</v>
      </c>
      <c r="C95" s="81">
        <f t="shared" si="3"/>
        <v>65.561499999999995</v>
      </c>
    </row>
    <row r="96" spans="1:3" x14ac:dyDescent="0.2">
      <c r="A96" s="90" t="s">
        <v>1208</v>
      </c>
      <c r="B96" s="74" t="s">
        <v>1241</v>
      </c>
      <c r="C96" s="81">
        <f t="shared" si="3"/>
        <v>65.561499999999995</v>
      </c>
    </row>
    <row r="97" spans="1:3" x14ac:dyDescent="0.2">
      <c r="A97" s="90" t="s">
        <v>1208</v>
      </c>
      <c r="B97" s="74" t="s">
        <v>1241</v>
      </c>
      <c r="C97" s="81">
        <f t="shared" si="3"/>
        <v>65.561499999999995</v>
      </c>
    </row>
    <row r="98" spans="1:3" x14ac:dyDescent="0.2">
      <c r="A98" s="90" t="s">
        <v>1208</v>
      </c>
      <c r="B98" s="74" t="s">
        <v>1241</v>
      </c>
      <c r="C98" s="81">
        <f t="shared" si="3"/>
        <v>65.561499999999995</v>
      </c>
    </row>
    <row r="99" spans="1:3" x14ac:dyDescent="0.2">
      <c r="A99" s="90" t="s">
        <v>1208</v>
      </c>
      <c r="B99" s="74" t="s">
        <v>1241</v>
      </c>
      <c r="C99" s="81">
        <f t="shared" si="3"/>
        <v>65.561499999999995</v>
      </c>
    </row>
    <row r="100" spans="1:3" x14ac:dyDescent="0.2">
      <c r="A100" s="90" t="s">
        <v>1208</v>
      </c>
      <c r="B100" s="74" t="s">
        <v>1241</v>
      </c>
      <c r="C100" s="81">
        <f t="shared" si="3"/>
        <v>65.561499999999995</v>
      </c>
    </row>
    <row r="101" spans="1:3" x14ac:dyDescent="0.2">
      <c r="A101" s="90" t="s">
        <v>1208</v>
      </c>
      <c r="B101" s="74" t="s">
        <v>1241</v>
      </c>
      <c r="C101" s="81">
        <f t="shared" si="3"/>
        <v>65.561499999999995</v>
      </c>
    </row>
    <row r="102" spans="1:3" x14ac:dyDescent="0.2">
      <c r="A102" s="90" t="s">
        <v>1208</v>
      </c>
      <c r="B102" s="74" t="s">
        <v>1241</v>
      </c>
      <c r="C102" s="81">
        <f t="shared" si="3"/>
        <v>65.561499999999995</v>
      </c>
    </row>
    <row r="103" spans="1:3" x14ac:dyDescent="0.2">
      <c r="A103" s="90" t="s">
        <v>1208</v>
      </c>
      <c r="B103" s="74" t="s">
        <v>1241</v>
      </c>
      <c r="C103" s="81">
        <f t="shared" si="3"/>
        <v>65.561499999999995</v>
      </c>
    </row>
    <row r="104" spans="1:3" x14ac:dyDescent="0.2">
      <c r="A104" s="90" t="s">
        <v>1208</v>
      </c>
      <c r="B104" s="74" t="s">
        <v>1241</v>
      </c>
      <c r="C104" s="81">
        <f t="shared" si="3"/>
        <v>65.561499999999995</v>
      </c>
    </row>
    <row r="105" spans="1:3" x14ac:dyDescent="0.2">
      <c r="A105" s="90" t="s">
        <v>1208</v>
      </c>
      <c r="B105" s="74" t="s">
        <v>1241</v>
      </c>
      <c r="C105" s="81">
        <f t="shared" si="3"/>
        <v>65.561499999999995</v>
      </c>
    </row>
    <row r="106" spans="1:3" x14ac:dyDescent="0.2">
      <c r="A106" s="90" t="s">
        <v>1208</v>
      </c>
      <c r="B106" s="74" t="s">
        <v>1241</v>
      </c>
      <c r="C106" s="81">
        <f t="shared" si="3"/>
        <v>65.561499999999995</v>
      </c>
    </row>
    <row r="107" spans="1:3" x14ac:dyDescent="0.2">
      <c r="A107" s="90" t="s">
        <v>1208</v>
      </c>
      <c r="B107" s="74" t="s">
        <v>1241</v>
      </c>
      <c r="C107" s="81">
        <f t="shared" si="3"/>
        <v>65.561499999999995</v>
      </c>
    </row>
    <row r="108" spans="1:3" x14ac:dyDescent="0.2">
      <c r="A108" s="90" t="s">
        <v>1208</v>
      </c>
      <c r="B108" s="74" t="s">
        <v>1241</v>
      </c>
      <c r="C108" s="81">
        <f t="shared" si="3"/>
        <v>65.561499999999995</v>
      </c>
    </row>
    <row r="109" spans="1:3" x14ac:dyDescent="0.2">
      <c r="A109" s="90" t="s">
        <v>1208</v>
      </c>
      <c r="B109" s="74" t="s">
        <v>1241</v>
      </c>
      <c r="C109" s="81">
        <f t="shared" si="3"/>
        <v>65.561499999999995</v>
      </c>
    </row>
    <row r="110" spans="1:3" x14ac:dyDescent="0.2">
      <c r="A110" s="90" t="s">
        <v>1208</v>
      </c>
      <c r="B110" s="74" t="s">
        <v>1241</v>
      </c>
      <c r="C110" s="81">
        <f t="shared" si="3"/>
        <v>65.561499999999995</v>
      </c>
    </row>
    <row r="111" spans="1:3" x14ac:dyDescent="0.2">
      <c r="A111" s="90" t="s">
        <v>1208</v>
      </c>
      <c r="B111" s="74" t="s">
        <v>1242</v>
      </c>
      <c r="C111" s="81">
        <v>60.54</v>
      </c>
    </row>
    <row r="112" spans="1:3" x14ac:dyDescent="0.2">
      <c r="A112" s="90" t="s">
        <v>1208</v>
      </c>
      <c r="B112" s="74" t="s">
        <v>1242</v>
      </c>
      <c r="C112" s="81">
        <v>60.54</v>
      </c>
    </row>
    <row r="113" spans="1:3" x14ac:dyDescent="0.2">
      <c r="A113" s="90" t="s">
        <v>1208</v>
      </c>
      <c r="B113" s="74" t="s">
        <v>1242</v>
      </c>
      <c r="C113" s="81">
        <v>60.54</v>
      </c>
    </row>
    <row r="114" spans="1:3" x14ac:dyDescent="0.2">
      <c r="A114" s="90" t="s">
        <v>1208</v>
      </c>
      <c r="B114" s="74" t="s">
        <v>1242</v>
      </c>
      <c r="C114" s="81">
        <v>60.54</v>
      </c>
    </row>
    <row r="115" spans="1:3" x14ac:dyDescent="0.2">
      <c r="A115" s="90" t="s">
        <v>1208</v>
      </c>
      <c r="B115" s="74" t="s">
        <v>1242</v>
      </c>
      <c r="C115" s="81">
        <v>60.54</v>
      </c>
    </row>
    <row r="116" spans="1:3" x14ac:dyDescent="0.2">
      <c r="A116" s="90" t="s">
        <v>1208</v>
      </c>
      <c r="B116" s="74" t="s">
        <v>1242</v>
      </c>
      <c r="C116" s="81">
        <v>60.54</v>
      </c>
    </row>
    <row r="117" spans="1:3" x14ac:dyDescent="0.2">
      <c r="A117" s="90" t="s">
        <v>1208</v>
      </c>
      <c r="B117" s="74" t="s">
        <v>1242</v>
      </c>
      <c r="C117" s="81">
        <v>60.54</v>
      </c>
    </row>
    <row r="118" spans="1:3" x14ac:dyDescent="0.2">
      <c r="A118" s="90" t="s">
        <v>1208</v>
      </c>
      <c r="B118" s="74" t="s">
        <v>1242</v>
      </c>
      <c r="C118" s="81">
        <v>60.54</v>
      </c>
    </row>
    <row r="119" spans="1:3" x14ac:dyDescent="0.2">
      <c r="A119" s="90" t="s">
        <v>1208</v>
      </c>
      <c r="B119" s="74" t="s">
        <v>1242</v>
      </c>
      <c r="C119" s="81">
        <v>60.54</v>
      </c>
    </row>
    <row r="120" spans="1:3" x14ac:dyDescent="0.2">
      <c r="A120" s="90" t="s">
        <v>1208</v>
      </c>
      <c r="B120" s="74" t="s">
        <v>1242</v>
      </c>
      <c r="C120" s="81">
        <v>60.54</v>
      </c>
    </row>
    <row r="121" spans="1:3" x14ac:dyDescent="0.2">
      <c r="A121" s="90" t="s">
        <v>1208</v>
      </c>
      <c r="B121" s="74" t="s">
        <v>1242</v>
      </c>
      <c r="C121" s="81">
        <v>60.54</v>
      </c>
    </row>
    <row r="122" spans="1:3" x14ac:dyDescent="0.2">
      <c r="A122" s="90" t="s">
        <v>1208</v>
      </c>
      <c r="B122" s="74" t="s">
        <v>1242</v>
      </c>
      <c r="C122" s="81">
        <v>60.54</v>
      </c>
    </row>
    <row r="123" spans="1:3" x14ac:dyDescent="0.2">
      <c r="A123" s="90" t="s">
        <v>1208</v>
      </c>
      <c r="B123" s="74" t="s">
        <v>1242</v>
      </c>
      <c r="C123" s="81">
        <v>60.54</v>
      </c>
    </row>
    <row r="124" spans="1:3" x14ac:dyDescent="0.2">
      <c r="A124" s="90" t="s">
        <v>1208</v>
      </c>
      <c r="B124" s="74" t="s">
        <v>1242</v>
      </c>
      <c r="C124" s="81">
        <v>60.54</v>
      </c>
    </row>
    <row r="125" spans="1:3" x14ac:dyDescent="0.2">
      <c r="A125" s="90" t="s">
        <v>1208</v>
      </c>
      <c r="B125" s="74" t="s">
        <v>1242</v>
      </c>
      <c r="C125" s="81">
        <v>60.54</v>
      </c>
    </row>
    <row r="126" spans="1:3" x14ac:dyDescent="0.2">
      <c r="A126" s="90" t="s">
        <v>1208</v>
      </c>
      <c r="B126" s="74" t="s">
        <v>1242</v>
      </c>
      <c r="C126" s="81">
        <v>60.54</v>
      </c>
    </row>
    <row r="127" spans="1:3" x14ac:dyDescent="0.2">
      <c r="A127" s="90" t="s">
        <v>1208</v>
      </c>
      <c r="B127" s="74" t="s">
        <v>1242</v>
      </c>
      <c r="C127" s="81">
        <v>60.54</v>
      </c>
    </row>
    <row r="128" spans="1:3" x14ac:dyDescent="0.2">
      <c r="A128" s="90" t="s">
        <v>1208</v>
      </c>
      <c r="B128" s="74" t="s">
        <v>1242</v>
      </c>
      <c r="C128" s="81">
        <v>60.54</v>
      </c>
    </row>
    <row r="129" spans="1:3" x14ac:dyDescent="0.2">
      <c r="A129" s="90" t="s">
        <v>1208</v>
      </c>
      <c r="B129" s="74" t="s">
        <v>1242</v>
      </c>
      <c r="C129" s="81">
        <v>60.54</v>
      </c>
    </row>
    <row r="130" spans="1:3" x14ac:dyDescent="0.2">
      <c r="A130" s="90" t="s">
        <v>1208</v>
      </c>
      <c r="B130" s="74" t="s">
        <v>1242</v>
      </c>
      <c r="C130" s="81">
        <v>60.54</v>
      </c>
    </row>
    <row r="131" spans="1:3" x14ac:dyDescent="0.2">
      <c r="A131" s="90" t="s">
        <v>1208</v>
      </c>
      <c r="B131" s="74" t="s">
        <v>1242</v>
      </c>
      <c r="C131" s="81">
        <v>60.54</v>
      </c>
    </row>
    <row r="132" spans="1:3" x14ac:dyDescent="0.2">
      <c r="A132" s="90" t="s">
        <v>1208</v>
      </c>
      <c r="B132" s="74" t="s">
        <v>1242</v>
      </c>
      <c r="C132" s="81">
        <v>60.54</v>
      </c>
    </row>
    <row r="133" spans="1:3" x14ac:dyDescent="0.2">
      <c r="A133" s="90" t="s">
        <v>1208</v>
      </c>
      <c r="B133" s="74" t="s">
        <v>1242</v>
      </c>
      <c r="C133" s="81">
        <v>60.54</v>
      </c>
    </row>
    <row r="134" spans="1:3" x14ac:dyDescent="0.2">
      <c r="A134" s="90" t="s">
        <v>1208</v>
      </c>
      <c r="B134" s="74" t="s">
        <v>1242</v>
      </c>
      <c r="C134" s="81">
        <v>60.54</v>
      </c>
    </row>
    <row r="135" spans="1:3" x14ac:dyDescent="0.2">
      <c r="A135" s="90" t="s">
        <v>1208</v>
      </c>
      <c r="B135" s="74" t="s">
        <v>1242</v>
      </c>
      <c r="C135" s="81">
        <v>60.54</v>
      </c>
    </row>
    <row r="136" spans="1:3" x14ac:dyDescent="0.2">
      <c r="A136" s="90" t="s">
        <v>1208</v>
      </c>
      <c r="B136" s="74" t="s">
        <v>1243</v>
      </c>
      <c r="C136" s="81">
        <v>19980.099999999999</v>
      </c>
    </row>
    <row r="137" spans="1:3" x14ac:dyDescent="0.2">
      <c r="A137" s="90" t="s">
        <v>1208</v>
      </c>
      <c r="B137" s="74" t="s">
        <v>1243</v>
      </c>
      <c r="C137" s="81">
        <v>19980.099999999999</v>
      </c>
    </row>
    <row r="138" spans="1:3" ht="16.5" customHeight="1" x14ac:dyDescent="0.2">
      <c r="A138" s="90" t="s">
        <v>1208</v>
      </c>
      <c r="B138" s="74" t="s">
        <v>1244</v>
      </c>
      <c r="C138" s="81">
        <v>22080.74</v>
      </c>
    </row>
    <row r="139" spans="1:3" x14ac:dyDescent="0.2">
      <c r="A139" s="90" t="s">
        <v>1208</v>
      </c>
      <c r="B139" s="74" t="s">
        <v>1245</v>
      </c>
      <c r="C139" s="81">
        <f>2943.45*1.15</f>
        <v>3384.9674999999997</v>
      </c>
    </row>
    <row r="140" spans="1:3" x14ac:dyDescent="0.2">
      <c r="A140" s="90" t="s">
        <v>1208</v>
      </c>
      <c r="B140" s="74" t="s">
        <v>1245</v>
      </c>
      <c r="C140" s="81">
        <f>2943.45*1.15</f>
        <v>3384.9674999999997</v>
      </c>
    </row>
    <row r="141" spans="1:3" ht="16.5" customHeight="1" x14ac:dyDescent="0.2">
      <c r="A141" s="90" t="s">
        <v>1208</v>
      </c>
      <c r="B141" s="74" t="s">
        <v>1246</v>
      </c>
      <c r="C141" s="81">
        <f>50*1.15</f>
        <v>57.499999999999993</v>
      </c>
    </row>
    <row r="142" spans="1:3" ht="18.75" customHeight="1" x14ac:dyDescent="0.2">
      <c r="A142" s="90" t="s">
        <v>1208</v>
      </c>
      <c r="B142" s="74" t="s">
        <v>1246</v>
      </c>
      <c r="C142" s="81">
        <f>50*1.15</f>
        <v>57.499999999999993</v>
      </c>
    </row>
    <row r="143" spans="1:3" ht="17.25" customHeight="1" x14ac:dyDescent="0.2">
      <c r="A143" s="90" t="s">
        <v>1208</v>
      </c>
      <c r="B143" s="74" t="s">
        <v>1246</v>
      </c>
      <c r="C143" s="81">
        <f>50*1.15</f>
        <v>57.499999999999993</v>
      </c>
    </row>
    <row r="144" spans="1:3" ht="16.5" customHeight="1" x14ac:dyDescent="0.2">
      <c r="A144" s="90" t="s">
        <v>1208</v>
      </c>
      <c r="B144" s="74" t="s">
        <v>1246</v>
      </c>
      <c r="C144" s="81">
        <f>50*1.15</f>
        <v>57.499999999999993</v>
      </c>
    </row>
    <row r="145" spans="1:3" x14ac:dyDescent="0.2">
      <c r="A145" s="90" t="s">
        <v>1208</v>
      </c>
      <c r="B145" s="74" t="s">
        <v>1247</v>
      </c>
      <c r="C145" s="81">
        <f>69500*1.15</f>
        <v>79925</v>
      </c>
    </row>
    <row r="146" spans="1:3" x14ac:dyDescent="0.2">
      <c r="A146" s="90" t="s">
        <v>1208</v>
      </c>
      <c r="B146" s="74" t="s">
        <v>1248</v>
      </c>
      <c r="C146" s="81">
        <f>5162.5*1.15</f>
        <v>5936.8749999999991</v>
      </c>
    </row>
    <row r="147" spans="1:3" x14ac:dyDescent="0.2">
      <c r="A147" s="90" t="s">
        <v>1208</v>
      </c>
      <c r="B147" s="74" t="s">
        <v>1249</v>
      </c>
      <c r="C147" s="81">
        <f>4032.37*1.15</f>
        <v>4637.2254999999996</v>
      </c>
    </row>
    <row r="148" spans="1:3" x14ac:dyDescent="0.2">
      <c r="A148" s="90" t="s">
        <v>1208</v>
      </c>
      <c r="B148" s="74" t="s">
        <v>1250</v>
      </c>
      <c r="C148" s="81">
        <f>990.36*1.15</f>
        <v>1138.914</v>
      </c>
    </row>
    <row r="149" spans="1:3" x14ac:dyDescent="0.2">
      <c r="A149" s="90" t="s">
        <v>1208</v>
      </c>
      <c r="B149" s="74" t="s">
        <v>1251</v>
      </c>
      <c r="C149" s="81">
        <f>824.28*1.15</f>
        <v>947.92199999999991</v>
      </c>
    </row>
    <row r="150" spans="1:3" x14ac:dyDescent="0.2">
      <c r="A150" s="90" t="s">
        <v>1208</v>
      </c>
      <c r="B150" s="74" t="s">
        <v>1252</v>
      </c>
      <c r="C150" s="81">
        <f>870.52*1.15</f>
        <v>1001.098</v>
      </c>
    </row>
    <row r="151" spans="1:3" x14ac:dyDescent="0.2">
      <c r="A151" s="90" t="s">
        <v>1208</v>
      </c>
      <c r="B151" s="74" t="s">
        <v>1253</v>
      </c>
      <c r="C151" s="81">
        <f>825.75*1.15</f>
        <v>949.61249999999995</v>
      </c>
    </row>
    <row r="152" spans="1:3" x14ac:dyDescent="0.2">
      <c r="A152" s="90" t="s">
        <v>1208</v>
      </c>
      <c r="B152" s="74" t="s">
        <v>1254</v>
      </c>
      <c r="C152" s="81">
        <f>825.26*1.15</f>
        <v>949.04899999999986</v>
      </c>
    </row>
    <row r="153" spans="1:3" ht="25.5" x14ac:dyDescent="0.2">
      <c r="A153" s="90" t="s">
        <v>1208</v>
      </c>
      <c r="B153" s="74" t="s">
        <v>1255</v>
      </c>
      <c r="C153" s="81">
        <f>906.99*1.15</f>
        <v>1043.0384999999999</v>
      </c>
    </row>
    <row r="154" spans="1:3" ht="25.5" x14ac:dyDescent="0.2">
      <c r="A154" s="90" t="s">
        <v>1208</v>
      </c>
      <c r="B154" s="74" t="s">
        <v>1256</v>
      </c>
      <c r="C154" s="81">
        <f>110.88*1.15</f>
        <v>127.51199999999999</v>
      </c>
    </row>
    <row r="155" spans="1:3" ht="25.5" x14ac:dyDescent="0.2">
      <c r="A155" s="90" t="s">
        <v>1208</v>
      </c>
      <c r="B155" s="74" t="s">
        <v>1257</v>
      </c>
      <c r="C155" s="81">
        <f t="shared" ref="C155:C174" si="4">109.99*1.15</f>
        <v>126.48849999999999</v>
      </c>
    </row>
    <row r="156" spans="1:3" ht="25.5" x14ac:dyDescent="0.2">
      <c r="A156" s="90" t="s">
        <v>1208</v>
      </c>
      <c r="B156" s="74" t="s">
        <v>1257</v>
      </c>
      <c r="C156" s="81">
        <f t="shared" si="4"/>
        <v>126.48849999999999</v>
      </c>
    </row>
    <row r="157" spans="1:3" ht="25.5" x14ac:dyDescent="0.2">
      <c r="A157" s="90" t="s">
        <v>1208</v>
      </c>
      <c r="B157" s="74" t="s">
        <v>1257</v>
      </c>
      <c r="C157" s="81">
        <f t="shared" si="4"/>
        <v>126.48849999999999</v>
      </c>
    </row>
    <row r="158" spans="1:3" ht="25.5" x14ac:dyDescent="0.2">
      <c r="A158" s="90" t="s">
        <v>1208</v>
      </c>
      <c r="B158" s="74" t="s">
        <v>1257</v>
      </c>
      <c r="C158" s="81">
        <f t="shared" si="4"/>
        <v>126.48849999999999</v>
      </c>
    </row>
    <row r="159" spans="1:3" ht="25.5" x14ac:dyDescent="0.2">
      <c r="A159" s="90" t="s">
        <v>1208</v>
      </c>
      <c r="B159" s="74" t="s">
        <v>1257</v>
      </c>
      <c r="C159" s="81">
        <f t="shared" si="4"/>
        <v>126.48849999999999</v>
      </c>
    </row>
    <row r="160" spans="1:3" ht="25.5" x14ac:dyDescent="0.2">
      <c r="A160" s="90" t="s">
        <v>1208</v>
      </c>
      <c r="B160" s="74" t="s">
        <v>1257</v>
      </c>
      <c r="C160" s="81">
        <f t="shared" si="4"/>
        <v>126.48849999999999</v>
      </c>
    </row>
    <row r="161" spans="1:3" ht="25.5" x14ac:dyDescent="0.2">
      <c r="A161" s="90" t="s">
        <v>1208</v>
      </c>
      <c r="B161" s="74" t="s">
        <v>1257</v>
      </c>
      <c r="C161" s="81">
        <f t="shared" si="4"/>
        <v>126.48849999999999</v>
      </c>
    </row>
    <row r="162" spans="1:3" ht="25.5" x14ac:dyDescent="0.2">
      <c r="A162" s="90" t="s">
        <v>1208</v>
      </c>
      <c r="B162" s="74" t="s">
        <v>1257</v>
      </c>
      <c r="C162" s="81">
        <f t="shared" si="4"/>
        <v>126.48849999999999</v>
      </c>
    </row>
    <row r="163" spans="1:3" ht="25.5" x14ac:dyDescent="0.2">
      <c r="A163" s="90" t="s">
        <v>1208</v>
      </c>
      <c r="B163" s="74" t="s">
        <v>1257</v>
      </c>
      <c r="C163" s="81">
        <f t="shared" si="4"/>
        <v>126.48849999999999</v>
      </c>
    </row>
    <row r="164" spans="1:3" ht="25.5" x14ac:dyDescent="0.2">
      <c r="A164" s="90" t="s">
        <v>1208</v>
      </c>
      <c r="B164" s="74" t="s">
        <v>1257</v>
      </c>
      <c r="C164" s="81">
        <f t="shared" si="4"/>
        <v>126.48849999999999</v>
      </c>
    </row>
    <row r="165" spans="1:3" ht="25.5" x14ac:dyDescent="0.2">
      <c r="A165" s="90" t="s">
        <v>1208</v>
      </c>
      <c r="B165" s="74" t="s">
        <v>1257</v>
      </c>
      <c r="C165" s="81">
        <f t="shared" si="4"/>
        <v>126.48849999999999</v>
      </c>
    </row>
    <row r="166" spans="1:3" ht="25.5" x14ac:dyDescent="0.2">
      <c r="A166" s="90" t="s">
        <v>1208</v>
      </c>
      <c r="B166" s="74" t="s">
        <v>1257</v>
      </c>
      <c r="C166" s="81">
        <f t="shared" si="4"/>
        <v>126.48849999999999</v>
      </c>
    </row>
    <row r="167" spans="1:3" ht="25.5" x14ac:dyDescent="0.2">
      <c r="A167" s="90" t="s">
        <v>1208</v>
      </c>
      <c r="B167" s="74" t="s">
        <v>1257</v>
      </c>
      <c r="C167" s="81">
        <f t="shared" si="4"/>
        <v>126.48849999999999</v>
      </c>
    </row>
    <row r="168" spans="1:3" ht="25.5" x14ac:dyDescent="0.2">
      <c r="A168" s="90" t="s">
        <v>1208</v>
      </c>
      <c r="B168" s="74" t="s">
        <v>1257</v>
      </c>
      <c r="C168" s="81">
        <f t="shared" si="4"/>
        <v>126.48849999999999</v>
      </c>
    </row>
    <row r="169" spans="1:3" ht="25.5" x14ac:dyDescent="0.2">
      <c r="A169" s="90" t="s">
        <v>1208</v>
      </c>
      <c r="B169" s="74" t="s">
        <v>1257</v>
      </c>
      <c r="C169" s="81">
        <f t="shared" si="4"/>
        <v>126.48849999999999</v>
      </c>
    </row>
    <row r="170" spans="1:3" ht="25.5" x14ac:dyDescent="0.2">
      <c r="A170" s="90" t="s">
        <v>1208</v>
      </c>
      <c r="B170" s="74" t="s">
        <v>1257</v>
      </c>
      <c r="C170" s="81">
        <f t="shared" si="4"/>
        <v>126.48849999999999</v>
      </c>
    </row>
    <row r="171" spans="1:3" ht="25.5" x14ac:dyDescent="0.2">
      <c r="A171" s="90" t="s">
        <v>1208</v>
      </c>
      <c r="B171" s="74" t="s">
        <v>1257</v>
      </c>
      <c r="C171" s="81">
        <f t="shared" si="4"/>
        <v>126.48849999999999</v>
      </c>
    </row>
    <row r="172" spans="1:3" ht="25.5" x14ac:dyDescent="0.2">
      <c r="A172" s="90" t="s">
        <v>1208</v>
      </c>
      <c r="B172" s="74" t="s">
        <v>1257</v>
      </c>
      <c r="C172" s="81">
        <f t="shared" si="4"/>
        <v>126.48849999999999</v>
      </c>
    </row>
    <row r="173" spans="1:3" ht="25.5" x14ac:dyDescent="0.2">
      <c r="A173" s="90" t="s">
        <v>1208</v>
      </c>
      <c r="B173" s="74" t="s">
        <v>1257</v>
      </c>
      <c r="C173" s="81">
        <f t="shared" si="4"/>
        <v>126.48849999999999</v>
      </c>
    </row>
    <row r="174" spans="1:3" ht="25.5" x14ac:dyDescent="0.2">
      <c r="A174" s="90" t="s">
        <v>1208</v>
      </c>
      <c r="B174" s="74" t="s">
        <v>1257</v>
      </c>
      <c r="C174" s="81">
        <f t="shared" si="4"/>
        <v>126.48849999999999</v>
      </c>
    </row>
    <row r="175" spans="1:3" ht="25.5" x14ac:dyDescent="0.2">
      <c r="A175" s="90" t="s">
        <v>1208</v>
      </c>
      <c r="B175" s="74" t="s">
        <v>1258</v>
      </c>
      <c r="C175" s="81">
        <v>1412.17</v>
      </c>
    </row>
    <row r="176" spans="1:3" ht="25.5" x14ac:dyDescent="0.2">
      <c r="A176" s="90" t="s">
        <v>1208</v>
      </c>
      <c r="B176" s="74" t="s">
        <v>1259</v>
      </c>
      <c r="C176" s="81">
        <v>1177.71</v>
      </c>
    </row>
    <row r="177" spans="1:3" x14ac:dyDescent="0.2">
      <c r="A177" s="90" t="s">
        <v>1208</v>
      </c>
      <c r="B177" s="74" t="s">
        <v>1260</v>
      </c>
      <c r="C177" s="81">
        <f>3233*1.15</f>
        <v>3717.95</v>
      </c>
    </row>
    <row r="178" spans="1:3" ht="25.5" x14ac:dyDescent="0.2">
      <c r="A178" s="90" t="s">
        <v>1208</v>
      </c>
      <c r="B178" s="74" t="s">
        <v>1261</v>
      </c>
      <c r="C178" s="81">
        <f>175*1.15</f>
        <v>201.24999999999997</v>
      </c>
    </row>
    <row r="179" spans="1:3" ht="25.5" x14ac:dyDescent="0.2">
      <c r="A179" s="90" t="s">
        <v>1208</v>
      </c>
      <c r="B179" s="74" t="s">
        <v>1261</v>
      </c>
      <c r="C179" s="81">
        <f>175*1.15</f>
        <v>201.24999999999997</v>
      </c>
    </row>
    <row r="180" spans="1:3" x14ac:dyDescent="0.2">
      <c r="A180" s="90" t="s">
        <v>1208</v>
      </c>
      <c r="B180" s="74" t="s">
        <v>1262</v>
      </c>
      <c r="C180" s="81">
        <f>69000*1.15</f>
        <v>79350</v>
      </c>
    </row>
    <row r="181" spans="1:3" ht="25.5" x14ac:dyDescent="0.2">
      <c r="A181" s="90" t="s">
        <v>1208</v>
      </c>
      <c r="B181" s="74" t="s">
        <v>1263</v>
      </c>
      <c r="C181" s="81">
        <f>2350*1.15</f>
        <v>2702.5</v>
      </c>
    </row>
    <row r="182" spans="1:3" ht="25.5" x14ac:dyDescent="0.2">
      <c r="A182" s="90" t="s">
        <v>1208</v>
      </c>
      <c r="B182" s="74" t="s">
        <v>1264</v>
      </c>
      <c r="C182" s="81">
        <f>240*1.15</f>
        <v>276</v>
      </c>
    </row>
    <row r="183" spans="1:3" ht="25.5" x14ac:dyDescent="0.2">
      <c r="A183" s="90" t="s">
        <v>1208</v>
      </c>
      <c r="B183" s="74" t="s">
        <v>1265</v>
      </c>
      <c r="C183" s="81">
        <f>516*1.15</f>
        <v>593.4</v>
      </c>
    </row>
    <row r="184" spans="1:3" ht="25.5" x14ac:dyDescent="0.2">
      <c r="A184" s="90" t="s">
        <v>1208</v>
      </c>
      <c r="B184" s="74" t="s">
        <v>1265</v>
      </c>
      <c r="C184" s="81">
        <f>516*1.15</f>
        <v>593.4</v>
      </c>
    </row>
    <row r="185" spans="1:3" x14ac:dyDescent="0.2">
      <c r="A185" s="90" t="s">
        <v>1208</v>
      </c>
      <c r="B185" s="74" t="s">
        <v>1266</v>
      </c>
      <c r="C185" s="81">
        <f>1470*1.15</f>
        <v>1690.4999999999998</v>
      </c>
    </row>
    <row r="186" spans="1:3" x14ac:dyDescent="0.2">
      <c r="A186" s="90" t="s">
        <v>1208</v>
      </c>
      <c r="B186" s="74" t="s">
        <v>1266</v>
      </c>
      <c r="C186" s="81">
        <f>1470*1.15</f>
        <v>1690.4999999999998</v>
      </c>
    </row>
    <row r="187" spans="1:3" ht="25.5" x14ac:dyDescent="0.2">
      <c r="A187" s="90" t="s">
        <v>1208</v>
      </c>
      <c r="B187" s="74" t="s">
        <v>1267</v>
      </c>
      <c r="C187" s="81">
        <f>176*1.15</f>
        <v>202.39999999999998</v>
      </c>
    </row>
    <row r="188" spans="1:3" x14ac:dyDescent="0.2">
      <c r="A188" s="90" t="s">
        <v>1208</v>
      </c>
      <c r="B188" s="74" t="s">
        <v>1268</v>
      </c>
      <c r="C188" s="81">
        <f>280.5*1.15</f>
        <v>322.57499999999999</v>
      </c>
    </row>
    <row r="189" spans="1:3" x14ac:dyDescent="0.2">
      <c r="A189" s="90" t="s">
        <v>1208</v>
      </c>
      <c r="B189" s="74" t="s">
        <v>1268</v>
      </c>
      <c r="C189" s="81">
        <f>280.5*1.15</f>
        <v>322.57499999999999</v>
      </c>
    </row>
    <row r="190" spans="1:3" ht="16.5" customHeight="1" x14ac:dyDescent="0.2">
      <c r="A190" s="90" t="s">
        <v>1208</v>
      </c>
      <c r="B190" s="74" t="s">
        <v>1269</v>
      </c>
      <c r="C190" s="81">
        <f>849.2*1.15</f>
        <v>976.57999999999993</v>
      </c>
    </row>
    <row r="191" spans="1:3" ht="15.75" customHeight="1" x14ac:dyDescent="0.2">
      <c r="A191" s="90" t="s">
        <v>1208</v>
      </c>
      <c r="B191" s="74" t="s">
        <v>1269</v>
      </c>
      <c r="C191" s="81">
        <f>849.2*1.15</f>
        <v>976.57999999999993</v>
      </c>
    </row>
    <row r="192" spans="1:3" ht="18" customHeight="1" x14ac:dyDescent="0.2">
      <c r="A192" s="90" t="s">
        <v>1208</v>
      </c>
      <c r="B192" s="74" t="s">
        <v>1270</v>
      </c>
      <c r="C192" s="81">
        <f>913.5*1.15</f>
        <v>1050.5249999999999</v>
      </c>
    </row>
    <row r="193" spans="1:3" ht="18" customHeight="1" x14ac:dyDescent="0.2">
      <c r="A193" s="90" t="s">
        <v>1208</v>
      </c>
      <c r="B193" s="74" t="s">
        <v>1270</v>
      </c>
      <c r="C193" s="81">
        <f>913.5*1.15</f>
        <v>1050.5249999999999</v>
      </c>
    </row>
    <row r="194" spans="1:3" x14ac:dyDescent="0.2">
      <c r="A194" s="90" t="s">
        <v>1208</v>
      </c>
      <c r="B194" s="74" t="s">
        <v>1271</v>
      </c>
      <c r="C194" s="81">
        <f>584.5*1.15</f>
        <v>672.17499999999995</v>
      </c>
    </row>
    <row r="195" spans="1:3" ht="25.5" x14ac:dyDescent="0.2">
      <c r="A195" s="90" t="s">
        <v>1208</v>
      </c>
      <c r="B195" s="74" t="s">
        <v>1272</v>
      </c>
      <c r="C195" s="81">
        <f>1390*1.15</f>
        <v>1598.4999999999998</v>
      </c>
    </row>
    <row r="196" spans="1:3" ht="25.5" x14ac:dyDescent="0.2">
      <c r="A196" s="90" t="s">
        <v>1208</v>
      </c>
      <c r="B196" s="74" t="s">
        <v>1272</v>
      </c>
      <c r="C196" s="81">
        <f>1390*1.15</f>
        <v>1598.4999999999998</v>
      </c>
    </row>
    <row r="197" spans="1:3" x14ac:dyDescent="0.2">
      <c r="A197" s="90" t="s">
        <v>1208</v>
      </c>
      <c r="B197" s="74" t="s">
        <v>1273</v>
      </c>
      <c r="C197" s="81">
        <f>350*1.15</f>
        <v>402.49999999999994</v>
      </c>
    </row>
    <row r="198" spans="1:3" x14ac:dyDescent="0.2">
      <c r="A198" s="90" t="s">
        <v>1208</v>
      </c>
      <c r="B198" s="74" t="s">
        <v>1274</v>
      </c>
      <c r="C198" s="81">
        <f>390*1.15</f>
        <v>448.49999999999994</v>
      </c>
    </row>
    <row r="199" spans="1:3" x14ac:dyDescent="0.2">
      <c r="A199" s="90" t="s">
        <v>1208</v>
      </c>
      <c r="B199" s="74" t="s">
        <v>1275</v>
      </c>
      <c r="C199" s="81">
        <f>495*1.15</f>
        <v>569.25</v>
      </c>
    </row>
    <row r="200" spans="1:3" x14ac:dyDescent="0.2">
      <c r="A200" s="90" t="s">
        <v>1208</v>
      </c>
      <c r="B200" s="74" t="s">
        <v>1276</v>
      </c>
      <c r="C200" s="81">
        <f>855*1.15</f>
        <v>983.24999999999989</v>
      </c>
    </row>
    <row r="201" spans="1:3" x14ac:dyDescent="0.2">
      <c r="A201" s="90" t="s">
        <v>1208</v>
      </c>
      <c r="B201" s="74" t="s">
        <v>1277</v>
      </c>
      <c r="C201" s="81">
        <f>1351.8*1.15</f>
        <v>1554.57</v>
      </c>
    </row>
    <row r="202" spans="1:3" ht="25.5" x14ac:dyDescent="0.2">
      <c r="A202" s="90" t="s">
        <v>1208</v>
      </c>
      <c r="B202" s="74" t="s">
        <v>1278</v>
      </c>
      <c r="C202" s="81">
        <f>680*1.15</f>
        <v>781.99999999999989</v>
      </c>
    </row>
    <row r="203" spans="1:3" ht="25.5" x14ac:dyDescent="0.2">
      <c r="A203" s="90" t="s">
        <v>1208</v>
      </c>
      <c r="B203" s="74" t="s">
        <v>1279</v>
      </c>
      <c r="C203" s="81">
        <f>790*1.15</f>
        <v>908.49999999999989</v>
      </c>
    </row>
    <row r="204" spans="1:3" x14ac:dyDescent="0.2">
      <c r="A204" s="90" t="s">
        <v>1208</v>
      </c>
      <c r="B204" s="74" t="s">
        <v>1280</v>
      </c>
      <c r="C204" s="81">
        <f>27.5*1.15</f>
        <v>31.624999999999996</v>
      </c>
    </row>
    <row r="205" spans="1:3" x14ac:dyDescent="0.2">
      <c r="A205" s="90" t="s">
        <v>1208</v>
      </c>
      <c r="B205" s="74" t="s">
        <v>1280</v>
      </c>
      <c r="C205" s="81">
        <f>27.5*1.15</f>
        <v>31.624999999999996</v>
      </c>
    </row>
    <row r="206" spans="1:3" x14ac:dyDescent="0.2">
      <c r="A206" s="90" t="s">
        <v>1208</v>
      </c>
      <c r="B206" s="74" t="s">
        <v>1280</v>
      </c>
      <c r="C206" s="81">
        <f>27.5*1.15</f>
        <v>31.624999999999996</v>
      </c>
    </row>
    <row r="207" spans="1:3" ht="16.5" customHeight="1" x14ac:dyDescent="0.2">
      <c r="A207" s="90" t="s">
        <v>1208</v>
      </c>
      <c r="B207" s="74" t="s">
        <v>1281</v>
      </c>
      <c r="C207" s="81">
        <f>82.5*1.15</f>
        <v>94.874999999999986</v>
      </c>
    </row>
    <row r="208" spans="1:3" ht="18.75" customHeight="1" x14ac:dyDescent="0.2">
      <c r="A208" s="90" t="s">
        <v>1208</v>
      </c>
      <c r="B208" s="74" t="s">
        <v>1281</v>
      </c>
      <c r="C208" s="81">
        <f>82.5*1.15</f>
        <v>94.874999999999986</v>
      </c>
    </row>
    <row r="209" spans="1:3" ht="25.5" x14ac:dyDescent="0.2">
      <c r="A209" s="90" t="s">
        <v>1208</v>
      </c>
      <c r="B209" s="74" t="s">
        <v>1282</v>
      </c>
      <c r="C209" s="81">
        <f>2980*1.15</f>
        <v>3426.9999999999995</v>
      </c>
    </row>
    <row r="210" spans="1:3" ht="25.5" x14ac:dyDescent="0.2">
      <c r="A210" s="90" t="s">
        <v>1208</v>
      </c>
      <c r="B210" s="74" t="s">
        <v>1282</v>
      </c>
      <c r="C210" s="81">
        <f>2980*1.15</f>
        <v>3426.9999999999995</v>
      </c>
    </row>
    <row r="211" spans="1:3" x14ac:dyDescent="0.2">
      <c r="A211" s="90" t="s">
        <v>1208</v>
      </c>
      <c r="B211" s="74" t="s">
        <v>1283</v>
      </c>
      <c r="C211" s="81">
        <f>380*1.15</f>
        <v>436.99999999999994</v>
      </c>
    </row>
    <row r="212" spans="1:3" x14ac:dyDescent="0.2">
      <c r="A212" s="90" t="s">
        <v>1208</v>
      </c>
      <c r="B212" s="74" t="s">
        <v>1284</v>
      </c>
      <c r="C212" s="81">
        <f>171.4*1.15</f>
        <v>197.10999999999999</v>
      </c>
    </row>
    <row r="213" spans="1:3" x14ac:dyDescent="0.2">
      <c r="A213" s="90" t="s">
        <v>1208</v>
      </c>
      <c r="B213" s="74" t="s">
        <v>1284</v>
      </c>
      <c r="C213" s="81">
        <f>171.4*1.15</f>
        <v>197.10999999999999</v>
      </c>
    </row>
    <row r="214" spans="1:3" x14ac:dyDescent="0.2">
      <c r="A214" s="90" t="s">
        <v>1208</v>
      </c>
      <c r="B214" s="74" t="s">
        <v>1284</v>
      </c>
      <c r="C214" s="81">
        <f>171.4*1.15</f>
        <v>197.10999999999999</v>
      </c>
    </row>
    <row r="215" spans="1:3" x14ac:dyDescent="0.2">
      <c r="A215" s="90" t="s">
        <v>1208</v>
      </c>
      <c r="B215" s="74" t="s">
        <v>1284</v>
      </c>
      <c r="C215" s="81">
        <f>171.4*1.15</f>
        <v>197.10999999999999</v>
      </c>
    </row>
    <row r="216" spans="1:3" x14ac:dyDescent="0.2">
      <c r="A216" s="90" t="s">
        <v>1208</v>
      </c>
      <c r="B216" s="74" t="s">
        <v>1284</v>
      </c>
      <c r="C216" s="81">
        <f>171.4*1.15</f>
        <v>197.10999999999999</v>
      </c>
    </row>
    <row r="217" spans="1:3" x14ac:dyDescent="0.2">
      <c r="A217" s="90" t="s">
        <v>1208</v>
      </c>
      <c r="B217" s="74" t="s">
        <v>1285</v>
      </c>
      <c r="C217" s="81">
        <f>500*1.15</f>
        <v>575</v>
      </c>
    </row>
    <row r="218" spans="1:3" x14ac:dyDescent="0.2">
      <c r="A218" s="90" t="s">
        <v>1208</v>
      </c>
      <c r="B218" s="74" t="s">
        <v>1285</v>
      </c>
      <c r="C218" s="81">
        <f>500*1.15</f>
        <v>575</v>
      </c>
    </row>
    <row r="219" spans="1:3" x14ac:dyDescent="0.2">
      <c r="A219" s="90" t="s">
        <v>1208</v>
      </c>
      <c r="B219" s="74" t="s">
        <v>1286</v>
      </c>
      <c r="C219" s="81">
        <f t="shared" ref="C219:C224" si="5">480*1.15</f>
        <v>552</v>
      </c>
    </row>
    <row r="220" spans="1:3" x14ac:dyDescent="0.2">
      <c r="A220" s="90" t="s">
        <v>1208</v>
      </c>
      <c r="B220" s="74" t="s">
        <v>1286</v>
      </c>
      <c r="C220" s="81">
        <f t="shared" si="5"/>
        <v>552</v>
      </c>
    </row>
    <row r="221" spans="1:3" x14ac:dyDescent="0.2">
      <c r="A221" s="90" t="s">
        <v>1208</v>
      </c>
      <c r="B221" s="74" t="s">
        <v>1286</v>
      </c>
      <c r="C221" s="81">
        <f t="shared" si="5"/>
        <v>552</v>
      </c>
    </row>
    <row r="222" spans="1:3" x14ac:dyDescent="0.2">
      <c r="A222" s="90" t="s">
        <v>1208</v>
      </c>
      <c r="B222" s="74" t="s">
        <v>1286</v>
      </c>
      <c r="C222" s="81">
        <f t="shared" si="5"/>
        <v>552</v>
      </c>
    </row>
    <row r="223" spans="1:3" x14ac:dyDescent="0.2">
      <c r="A223" s="90" t="s">
        <v>1208</v>
      </c>
      <c r="B223" s="74" t="s">
        <v>1286</v>
      </c>
      <c r="C223" s="81">
        <f t="shared" si="5"/>
        <v>552</v>
      </c>
    </row>
    <row r="224" spans="1:3" x14ac:dyDescent="0.2">
      <c r="A224" s="90" t="s">
        <v>1208</v>
      </c>
      <c r="B224" s="74" t="s">
        <v>1286</v>
      </c>
      <c r="C224" s="81">
        <f t="shared" si="5"/>
        <v>552</v>
      </c>
    </row>
    <row r="225" spans="1:3" ht="25.5" x14ac:dyDescent="0.2">
      <c r="A225" s="90" t="s">
        <v>1208</v>
      </c>
      <c r="B225" s="74" t="s">
        <v>1287</v>
      </c>
      <c r="C225" s="81">
        <f>650*1.15</f>
        <v>747.49999999999989</v>
      </c>
    </row>
    <row r="226" spans="1:3" ht="25.5" x14ac:dyDescent="0.2">
      <c r="A226" s="90" t="s">
        <v>1208</v>
      </c>
      <c r="B226" s="74" t="s">
        <v>1288</v>
      </c>
      <c r="C226" s="81">
        <f>209*1.15</f>
        <v>240.35</v>
      </c>
    </row>
    <row r="227" spans="1:3" ht="25.5" x14ac:dyDescent="0.2">
      <c r="A227" s="90" t="s">
        <v>1208</v>
      </c>
      <c r="B227" s="74" t="s">
        <v>1289</v>
      </c>
      <c r="C227" s="81">
        <f>271*1.15</f>
        <v>311.64999999999998</v>
      </c>
    </row>
    <row r="228" spans="1:3" ht="25.5" x14ac:dyDescent="0.2">
      <c r="A228" s="90" t="s">
        <v>1208</v>
      </c>
      <c r="B228" s="74" t="s">
        <v>1289</v>
      </c>
      <c r="C228" s="81">
        <f>271*1.15</f>
        <v>311.64999999999998</v>
      </c>
    </row>
    <row r="229" spans="1:3" ht="38.25" x14ac:dyDescent="0.2">
      <c r="A229" s="90" t="s">
        <v>1208</v>
      </c>
      <c r="B229" s="74" t="s">
        <v>1290</v>
      </c>
      <c r="C229" s="81">
        <f>1090*1.15</f>
        <v>1253.5</v>
      </c>
    </row>
    <row r="230" spans="1:3" x14ac:dyDescent="0.2">
      <c r="A230" s="90" t="s">
        <v>1208</v>
      </c>
      <c r="B230" s="74" t="s">
        <v>1291</v>
      </c>
      <c r="C230" s="81">
        <f>770*1.15</f>
        <v>885.49999999999989</v>
      </c>
    </row>
    <row r="231" spans="1:3" x14ac:dyDescent="0.2">
      <c r="A231" s="90" t="s">
        <v>1208</v>
      </c>
      <c r="B231" s="74" t="s">
        <v>1291</v>
      </c>
      <c r="C231" s="81">
        <f>806.3*1.15</f>
        <v>927.24499999999989</v>
      </c>
    </row>
    <row r="232" spans="1:3" x14ac:dyDescent="0.2">
      <c r="A232" s="90" t="s">
        <v>1208</v>
      </c>
      <c r="B232" s="74" t="s">
        <v>1292</v>
      </c>
      <c r="C232" s="81">
        <f>2396.4*1.15</f>
        <v>2755.8599999999997</v>
      </c>
    </row>
    <row r="233" spans="1:3" x14ac:dyDescent="0.2">
      <c r="A233" s="90" t="s">
        <v>1208</v>
      </c>
      <c r="B233" s="74" t="s">
        <v>1293</v>
      </c>
      <c r="C233" s="81">
        <f>3865.05*1.15</f>
        <v>4444.8074999999999</v>
      </c>
    </row>
    <row r="234" spans="1:3" x14ac:dyDescent="0.2">
      <c r="A234" s="90" t="s">
        <v>1208</v>
      </c>
      <c r="B234" s="74" t="s">
        <v>1294</v>
      </c>
      <c r="C234" s="81">
        <f>790.7*1.15</f>
        <v>909.30499999999995</v>
      </c>
    </row>
    <row r="235" spans="1:3" x14ac:dyDescent="0.2">
      <c r="A235" s="90" t="s">
        <v>1208</v>
      </c>
      <c r="B235" s="74" t="s">
        <v>1295</v>
      </c>
      <c r="C235" s="81">
        <f>1715.68*1.15</f>
        <v>1973.0319999999999</v>
      </c>
    </row>
    <row r="236" spans="1:3" ht="25.5" x14ac:dyDescent="0.2">
      <c r="A236" s="90" t="s">
        <v>1208</v>
      </c>
      <c r="B236" s="74" t="s">
        <v>1296</v>
      </c>
      <c r="C236" s="81">
        <f>45.5*1.15</f>
        <v>52.324999999999996</v>
      </c>
    </row>
    <row r="237" spans="1:3" ht="25.5" x14ac:dyDescent="0.2">
      <c r="A237" s="90" t="s">
        <v>1208</v>
      </c>
      <c r="B237" s="74" t="s">
        <v>1297</v>
      </c>
      <c r="C237" s="81">
        <f>45.5*1.15</f>
        <v>52.324999999999996</v>
      </c>
    </row>
    <row r="238" spans="1:3" ht="25.5" x14ac:dyDescent="0.2">
      <c r="A238" s="90" t="s">
        <v>1208</v>
      </c>
      <c r="B238" s="74" t="s">
        <v>1298</v>
      </c>
      <c r="C238" s="81">
        <f>45.5*1.15</f>
        <v>52.324999999999996</v>
      </c>
    </row>
    <row r="239" spans="1:3" ht="25.5" x14ac:dyDescent="0.2">
      <c r="A239" s="90" t="s">
        <v>1208</v>
      </c>
      <c r="B239" s="74" t="s">
        <v>1299</v>
      </c>
      <c r="C239" s="81">
        <f>48.5*1.15</f>
        <v>55.774999999999999</v>
      </c>
    </row>
    <row r="240" spans="1:3" ht="25.5" x14ac:dyDescent="0.2">
      <c r="A240" s="90" t="s">
        <v>1208</v>
      </c>
      <c r="B240" s="74" t="s">
        <v>1300</v>
      </c>
      <c r="C240" s="81">
        <f>48.5*1.15</f>
        <v>55.774999999999999</v>
      </c>
    </row>
    <row r="241" spans="1:3" ht="25.5" x14ac:dyDescent="0.2">
      <c r="A241" s="90" t="s">
        <v>1208</v>
      </c>
      <c r="B241" s="74" t="s">
        <v>1301</v>
      </c>
      <c r="C241" s="81">
        <f>48.5*1.15</f>
        <v>55.774999999999999</v>
      </c>
    </row>
    <row r="242" spans="1:3" ht="25.5" x14ac:dyDescent="0.2">
      <c r="A242" s="90" t="s">
        <v>1208</v>
      </c>
      <c r="B242" s="74" t="s">
        <v>1302</v>
      </c>
      <c r="C242" s="81">
        <f>1205.71*1.15</f>
        <v>1386.5664999999999</v>
      </c>
    </row>
    <row r="243" spans="1:3" ht="25.5" x14ac:dyDescent="0.2">
      <c r="A243" s="90" t="s">
        <v>1208</v>
      </c>
      <c r="B243" s="74" t="s">
        <v>1303</v>
      </c>
      <c r="C243" s="81">
        <f>691.8*1.15</f>
        <v>795.56999999999994</v>
      </c>
    </row>
    <row r="244" spans="1:3" ht="25.5" x14ac:dyDescent="0.2">
      <c r="A244" s="90" t="s">
        <v>1208</v>
      </c>
      <c r="B244" s="74" t="s">
        <v>1304</v>
      </c>
      <c r="C244" s="81">
        <f>691.8*1.15</f>
        <v>795.56999999999994</v>
      </c>
    </row>
    <row r="245" spans="1:3" ht="25.5" x14ac:dyDescent="0.2">
      <c r="A245" s="90" t="s">
        <v>1208</v>
      </c>
      <c r="B245" s="74" t="s">
        <v>1305</v>
      </c>
      <c r="C245" s="81">
        <f>691.8*1.15</f>
        <v>795.56999999999994</v>
      </c>
    </row>
    <row r="246" spans="1:3" ht="25.5" x14ac:dyDescent="0.2">
      <c r="A246" s="90" t="s">
        <v>1208</v>
      </c>
      <c r="B246" s="74" t="s">
        <v>1306</v>
      </c>
      <c r="C246" s="81">
        <f>1207.2*1.15</f>
        <v>1388.28</v>
      </c>
    </row>
    <row r="247" spans="1:3" ht="25.5" x14ac:dyDescent="0.2">
      <c r="A247" s="90" t="s">
        <v>1208</v>
      </c>
      <c r="B247" s="74" t="s">
        <v>1306</v>
      </c>
      <c r="C247" s="81">
        <f>1207.2*1.15</f>
        <v>1388.28</v>
      </c>
    </row>
    <row r="248" spans="1:3" ht="25.5" x14ac:dyDescent="0.2">
      <c r="A248" s="90" t="s">
        <v>1208</v>
      </c>
      <c r="B248" s="74" t="s">
        <v>1306</v>
      </c>
      <c r="C248" s="81">
        <f>1207.2*1.15</f>
        <v>1388.28</v>
      </c>
    </row>
    <row r="249" spans="1:3" ht="25.5" x14ac:dyDescent="0.2">
      <c r="A249" s="90" t="s">
        <v>1208</v>
      </c>
      <c r="B249" s="74" t="s">
        <v>1307</v>
      </c>
      <c r="C249" s="81">
        <f>833.4*1.15</f>
        <v>958.40999999999985</v>
      </c>
    </row>
    <row r="250" spans="1:3" ht="25.5" x14ac:dyDescent="0.2">
      <c r="A250" s="90" t="s">
        <v>1208</v>
      </c>
      <c r="B250" s="74" t="s">
        <v>1308</v>
      </c>
      <c r="C250" s="81">
        <f>833.4*1.15</f>
        <v>958.40999999999985</v>
      </c>
    </row>
    <row r="251" spans="1:3" ht="25.5" x14ac:dyDescent="0.2">
      <c r="A251" s="90" t="s">
        <v>1208</v>
      </c>
      <c r="B251" s="74" t="s">
        <v>1309</v>
      </c>
      <c r="C251" s="81">
        <f>833.4*1.15</f>
        <v>958.40999999999985</v>
      </c>
    </row>
    <row r="252" spans="1:3" ht="25.5" x14ac:dyDescent="0.2">
      <c r="A252" s="90" t="s">
        <v>1208</v>
      </c>
      <c r="B252" s="74" t="s">
        <v>1310</v>
      </c>
      <c r="C252" s="81">
        <f>833.4*1.15</f>
        <v>958.40999999999985</v>
      </c>
    </row>
    <row r="253" spans="1:3" ht="38.25" x14ac:dyDescent="0.2">
      <c r="A253" s="90" t="s">
        <v>1208</v>
      </c>
      <c r="B253" s="74" t="s">
        <v>1311</v>
      </c>
      <c r="C253" s="81">
        <f>819*1.15</f>
        <v>941.84999999999991</v>
      </c>
    </row>
    <row r="254" spans="1:3" ht="38.25" x14ac:dyDescent="0.2">
      <c r="A254" s="90" t="s">
        <v>1208</v>
      </c>
      <c r="B254" s="74" t="s">
        <v>1311</v>
      </c>
      <c r="C254" s="81">
        <f>819*1.15</f>
        <v>941.84999999999991</v>
      </c>
    </row>
    <row r="255" spans="1:3" ht="38.25" x14ac:dyDescent="0.2">
      <c r="A255" s="90" t="s">
        <v>1208</v>
      </c>
      <c r="B255" s="74" t="s">
        <v>1311</v>
      </c>
      <c r="C255" s="81">
        <f>819*1.15</f>
        <v>941.84999999999991</v>
      </c>
    </row>
    <row r="256" spans="1:3" ht="25.5" x14ac:dyDescent="0.2">
      <c r="A256" s="90" t="s">
        <v>1208</v>
      </c>
      <c r="B256" s="74" t="s">
        <v>1312</v>
      </c>
      <c r="C256" s="81">
        <f>850*1.15</f>
        <v>977.49999999999989</v>
      </c>
    </row>
    <row r="257" spans="1:3" ht="25.5" x14ac:dyDescent="0.2">
      <c r="A257" s="90" t="s">
        <v>1208</v>
      </c>
      <c r="B257" s="74" t="s">
        <v>1313</v>
      </c>
      <c r="C257" s="81">
        <f>648.5*1.15</f>
        <v>745.77499999999998</v>
      </c>
    </row>
    <row r="258" spans="1:3" ht="25.5" x14ac:dyDescent="0.2">
      <c r="A258" s="90" t="s">
        <v>1208</v>
      </c>
      <c r="B258" s="74" t="s">
        <v>1313</v>
      </c>
      <c r="C258" s="81">
        <f>648.5*1.15</f>
        <v>745.77499999999998</v>
      </c>
    </row>
    <row r="259" spans="1:3" ht="25.5" x14ac:dyDescent="0.2">
      <c r="A259" s="90" t="s">
        <v>1208</v>
      </c>
      <c r="B259" s="74" t="s">
        <v>1313</v>
      </c>
      <c r="C259" s="81">
        <f>648.5*1.15</f>
        <v>745.77499999999998</v>
      </c>
    </row>
    <row r="260" spans="1:3" ht="25.5" x14ac:dyDescent="0.2">
      <c r="A260" s="90" t="s">
        <v>1208</v>
      </c>
      <c r="B260" s="74" t="s">
        <v>1314</v>
      </c>
      <c r="C260" s="81">
        <f>1209.58*1.15</f>
        <v>1391.0169999999998</v>
      </c>
    </row>
    <row r="261" spans="1:3" ht="25.5" x14ac:dyDescent="0.2">
      <c r="A261" s="90" t="s">
        <v>1208</v>
      </c>
      <c r="B261" s="74" t="s">
        <v>1315</v>
      </c>
      <c r="C261" s="81">
        <f>1209.58*1.15</f>
        <v>1391.0169999999998</v>
      </c>
    </row>
    <row r="262" spans="1:3" ht="25.5" x14ac:dyDescent="0.2">
      <c r="A262" s="90" t="s">
        <v>1208</v>
      </c>
      <c r="B262" s="74" t="s">
        <v>1316</v>
      </c>
      <c r="C262" s="81">
        <f>845.3*1.15</f>
        <v>972.09499999999991</v>
      </c>
    </row>
    <row r="263" spans="1:3" ht="25.5" x14ac:dyDescent="0.2">
      <c r="A263" s="90" t="s">
        <v>1208</v>
      </c>
      <c r="B263" s="74" t="s">
        <v>1316</v>
      </c>
      <c r="C263" s="81">
        <f>845.3*1.15</f>
        <v>972.09499999999991</v>
      </c>
    </row>
    <row r="264" spans="1:3" ht="25.5" x14ac:dyDescent="0.2">
      <c r="A264" s="90" t="s">
        <v>1208</v>
      </c>
      <c r="B264" s="74" t="s">
        <v>1317</v>
      </c>
      <c r="C264" s="81">
        <f>523.2*1.15</f>
        <v>601.67999999999995</v>
      </c>
    </row>
    <row r="265" spans="1:3" ht="25.5" x14ac:dyDescent="0.2">
      <c r="A265" s="90" t="s">
        <v>1208</v>
      </c>
      <c r="B265" s="74" t="s">
        <v>1318</v>
      </c>
      <c r="C265" s="81">
        <f>628.5*1.15</f>
        <v>722.77499999999998</v>
      </c>
    </row>
    <row r="266" spans="1:3" ht="25.5" x14ac:dyDescent="0.2">
      <c r="A266" s="90" t="s">
        <v>1208</v>
      </c>
      <c r="B266" s="74" t="s">
        <v>1319</v>
      </c>
      <c r="C266" s="81">
        <f>1013.5*1.15</f>
        <v>1165.5249999999999</v>
      </c>
    </row>
    <row r="267" spans="1:3" ht="25.5" x14ac:dyDescent="0.2">
      <c r="A267" s="90" t="s">
        <v>1208</v>
      </c>
      <c r="B267" s="74" t="s">
        <v>1320</v>
      </c>
      <c r="C267" s="81">
        <f>433.7*1.15</f>
        <v>498.75499999999994</v>
      </c>
    </row>
    <row r="268" spans="1:3" ht="25.5" x14ac:dyDescent="0.2">
      <c r="A268" s="90" t="s">
        <v>1208</v>
      </c>
      <c r="B268" s="74" t="s">
        <v>1321</v>
      </c>
      <c r="C268" s="81">
        <f>433.7*1.15</f>
        <v>498.75499999999994</v>
      </c>
    </row>
    <row r="269" spans="1:3" ht="25.5" x14ac:dyDescent="0.2">
      <c r="A269" s="90" t="s">
        <v>1208</v>
      </c>
      <c r="B269" s="74" t="s">
        <v>1322</v>
      </c>
      <c r="C269" s="81">
        <f>433.7*1.15</f>
        <v>498.75499999999994</v>
      </c>
    </row>
    <row r="270" spans="1:3" ht="25.5" x14ac:dyDescent="0.2">
      <c r="A270" s="90" t="s">
        <v>1208</v>
      </c>
      <c r="B270" s="74" t="s">
        <v>1323</v>
      </c>
      <c r="C270" s="81">
        <f>810*1.15</f>
        <v>931.49999999999989</v>
      </c>
    </row>
    <row r="271" spans="1:3" ht="25.5" x14ac:dyDescent="0.2">
      <c r="A271" s="90" t="s">
        <v>1208</v>
      </c>
      <c r="B271" s="74" t="s">
        <v>1323</v>
      </c>
      <c r="C271" s="81">
        <f>810*1.15</f>
        <v>931.49999999999989</v>
      </c>
    </row>
    <row r="272" spans="1:3" ht="25.5" x14ac:dyDescent="0.2">
      <c r="A272" s="90" t="s">
        <v>1208</v>
      </c>
      <c r="B272" s="74" t="s">
        <v>1323</v>
      </c>
      <c r="C272" s="81">
        <f>810*1.15</f>
        <v>931.49999999999989</v>
      </c>
    </row>
    <row r="273" spans="1:3" ht="25.5" x14ac:dyDescent="0.2">
      <c r="A273" s="90" t="s">
        <v>1208</v>
      </c>
      <c r="B273" s="74" t="s">
        <v>1324</v>
      </c>
      <c r="C273" s="81">
        <f>374.1*1.15</f>
        <v>430.21499999999997</v>
      </c>
    </row>
    <row r="274" spans="1:3" ht="25.5" x14ac:dyDescent="0.2">
      <c r="A274" s="90" t="s">
        <v>1208</v>
      </c>
      <c r="B274" s="74" t="s">
        <v>1325</v>
      </c>
      <c r="C274" s="81">
        <f>1561.2*1.15</f>
        <v>1795.3799999999999</v>
      </c>
    </row>
    <row r="275" spans="1:3" x14ac:dyDescent="0.2">
      <c r="A275" s="90" t="s">
        <v>1208</v>
      </c>
      <c r="B275" s="74" t="s">
        <v>1326</v>
      </c>
      <c r="C275" s="81">
        <f>224*1.15</f>
        <v>257.59999999999997</v>
      </c>
    </row>
    <row r="276" spans="1:3" x14ac:dyDescent="0.2">
      <c r="A276" s="90" t="s">
        <v>1208</v>
      </c>
      <c r="B276" s="74" t="s">
        <v>1327</v>
      </c>
      <c r="C276" s="81">
        <f>449*1.15</f>
        <v>516.34999999999991</v>
      </c>
    </row>
    <row r="277" spans="1:3" x14ac:dyDescent="0.2">
      <c r="A277" s="90" t="s">
        <v>1208</v>
      </c>
      <c r="B277" s="74" t="s">
        <v>1327</v>
      </c>
      <c r="C277" s="81">
        <f>449*1.15</f>
        <v>516.34999999999991</v>
      </c>
    </row>
    <row r="278" spans="1:3" ht="25.5" x14ac:dyDescent="0.2">
      <c r="A278" s="90" t="s">
        <v>1208</v>
      </c>
      <c r="B278" s="74" t="s">
        <v>1328</v>
      </c>
      <c r="C278" s="81">
        <f>250*1.15</f>
        <v>287.5</v>
      </c>
    </row>
    <row r="279" spans="1:3" ht="25.5" x14ac:dyDescent="0.2">
      <c r="A279" s="90" t="s">
        <v>1208</v>
      </c>
      <c r="B279" s="74" t="s">
        <v>1328</v>
      </c>
      <c r="C279" s="81">
        <f>250*1.15</f>
        <v>287.5</v>
      </c>
    </row>
    <row r="280" spans="1:3" x14ac:dyDescent="0.2">
      <c r="A280" s="90" t="s">
        <v>1208</v>
      </c>
      <c r="B280" s="74" t="s">
        <v>1329</v>
      </c>
      <c r="C280" s="81">
        <f>79.9*1.15</f>
        <v>91.885000000000005</v>
      </c>
    </row>
    <row r="281" spans="1:3" x14ac:dyDescent="0.2">
      <c r="A281" s="90" t="s">
        <v>1208</v>
      </c>
      <c r="B281" s="74" t="s">
        <v>1329</v>
      </c>
      <c r="C281" s="81">
        <f>79.9*1.15</f>
        <v>91.885000000000005</v>
      </c>
    </row>
    <row r="282" spans="1:3" x14ac:dyDescent="0.2">
      <c r="A282" s="90" t="s">
        <v>1208</v>
      </c>
      <c r="B282" s="74" t="s">
        <v>1330</v>
      </c>
      <c r="C282" s="81">
        <f>147*1.15</f>
        <v>169.04999999999998</v>
      </c>
    </row>
    <row r="283" spans="1:3" x14ac:dyDescent="0.2">
      <c r="A283" s="90" t="s">
        <v>1208</v>
      </c>
      <c r="B283" s="74" t="s">
        <v>1331</v>
      </c>
      <c r="C283" s="81">
        <f>110*1.15</f>
        <v>126.49999999999999</v>
      </c>
    </row>
    <row r="284" spans="1:3" x14ac:dyDescent="0.2">
      <c r="A284" s="90" t="s">
        <v>1208</v>
      </c>
      <c r="B284" s="74" t="s">
        <v>1331</v>
      </c>
      <c r="C284" s="81">
        <f>110*1.15</f>
        <v>126.49999999999999</v>
      </c>
    </row>
    <row r="285" spans="1:3" x14ac:dyDescent="0.2">
      <c r="A285" s="90" t="s">
        <v>1208</v>
      </c>
      <c r="B285" s="74" t="s">
        <v>1332</v>
      </c>
      <c r="C285" s="81">
        <f t="shared" ref="C285:C290" si="6">280*1.15</f>
        <v>322</v>
      </c>
    </row>
    <row r="286" spans="1:3" x14ac:dyDescent="0.2">
      <c r="A286" s="90" t="s">
        <v>1208</v>
      </c>
      <c r="B286" s="74" t="s">
        <v>1332</v>
      </c>
      <c r="C286" s="81">
        <f t="shared" si="6"/>
        <v>322</v>
      </c>
    </row>
    <row r="287" spans="1:3" x14ac:dyDescent="0.2">
      <c r="A287" s="90" t="s">
        <v>1208</v>
      </c>
      <c r="B287" s="74" t="s">
        <v>1332</v>
      </c>
      <c r="C287" s="81">
        <f t="shared" si="6"/>
        <v>322</v>
      </c>
    </row>
    <row r="288" spans="1:3" x14ac:dyDescent="0.2">
      <c r="A288" s="90" t="s">
        <v>1208</v>
      </c>
      <c r="B288" s="74" t="s">
        <v>1333</v>
      </c>
      <c r="C288" s="81">
        <f t="shared" si="6"/>
        <v>322</v>
      </c>
    </row>
    <row r="289" spans="1:3" x14ac:dyDescent="0.2">
      <c r="A289" s="90" t="s">
        <v>1208</v>
      </c>
      <c r="B289" s="74" t="s">
        <v>1333</v>
      </c>
      <c r="C289" s="81">
        <f t="shared" si="6"/>
        <v>322</v>
      </c>
    </row>
    <row r="290" spans="1:3" x14ac:dyDescent="0.2">
      <c r="A290" s="90" t="s">
        <v>1208</v>
      </c>
      <c r="B290" s="74" t="s">
        <v>1333</v>
      </c>
      <c r="C290" s="81">
        <f t="shared" si="6"/>
        <v>322</v>
      </c>
    </row>
    <row r="291" spans="1:3" x14ac:dyDescent="0.2">
      <c r="A291" s="90" t="s">
        <v>1208</v>
      </c>
      <c r="B291" s="74" t="s">
        <v>1334</v>
      </c>
      <c r="C291" s="81">
        <f>350*1.15</f>
        <v>402.49999999999994</v>
      </c>
    </row>
    <row r="292" spans="1:3" x14ac:dyDescent="0.2">
      <c r="A292" s="90" t="s">
        <v>1208</v>
      </c>
      <c r="B292" s="74" t="s">
        <v>1335</v>
      </c>
      <c r="C292" s="81">
        <f>350*1.15</f>
        <v>402.49999999999994</v>
      </c>
    </row>
    <row r="293" spans="1:3" x14ac:dyDescent="0.2">
      <c r="A293" s="90" t="s">
        <v>1208</v>
      </c>
      <c r="B293" s="74" t="s">
        <v>1336</v>
      </c>
      <c r="C293" s="81">
        <f>200*1.15</f>
        <v>229.99999999999997</v>
      </c>
    </row>
    <row r="294" spans="1:3" x14ac:dyDescent="0.2">
      <c r="A294" s="90" t="s">
        <v>1208</v>
      </c>
      <c r="B294" s="74" t="s">
        <v>1336</v>
      </c>
      <c r="C294" s="81">
        <f>200*1.15</f>
        <v>229.99999999999997</v>
      </c>
    </row>
    <row r="295" spans="1:3" x14ac:dyDescent="0.2">
      <c r="A295" s="90" t="s">
        <v>1208</v>
      </c>
      <c r="B295" s="74" t="s">
        <v>1337</v>
      </c>
      <c r="C295" s="81">
        <f>290*1.15</f>
        <v>333.5</v>
      </c>
    </row>
    <row r="296" spans="1:3" x14ac:dyDescent="0.2">
      <c r="A296" s="90" t="s">
        <v>1208</v>
      </c>
      <c r="B296" s="74" t="s">
        <v>1338</v>
      </c>
      <c r="C296" s="81">
        <f>87.5*1.15</f>
        <v>100.62499999999999</v>
      </c>
    </row>
    <row r="297" spans="1:3" x14ac:dyDescent="0.2">
      <c r="A297" s="90" t="s">
        <v>1208</v>
      </c>
      <c r="B297" s="74" t="s">
        <v>1339</v>
      </c>
      <c r="C297" s="81">
        <f>280*1.15</f>
        <v>322</v>
      </c>
    </row>
    <row r="298" spans="1:3" x14ac:dyDescent="0.2">
      <c r="A298" s="90" t="s">
        <v>1208</v>
      </c>
      <c r="B298" s="74" t="s">
        <v>1339</v>
      </c>
      <c r="C298" s="81">
        <f>280*1.15</f>
        <v>322</v>
      </c>
    </row>
    <row r="299" spans="1:3" ht="25.5" x14ac:dyDescent="0.2">
      <c r="A299" s="90" t="s">
        <v>1208</v>
      </c>
      <c r="B299" s="74" t="s">
        <v>1340</v>
      </c>
      <c r="C299" s="81">
        <f>488.7*1.15</f>
        <v>562.005</v>
      </c>
    </row>
    <row r="300" spans="1:3" ht="25.5" x14ac:dyDescent="0.2">
      <c r="A300" s="90" t="s">
        <v>1208</v>
      </c>
      <c r="B300" s="74" t="s">
        <v>1340</v>
      </c>
      <c r="C300" s="81">
        <f>488.7*1.15</f>
        <v>562.005</v>
      </c>
    </row>
    <row r="301" spans="1:3" ht="25.5" x14ac:dyDescent="0.2">
      <c r="A301" s="90" t="s">
        <v>1208</v>
      </c>
      <c r="B301" s="74" t="s">
        <v>1341</v>
      </c>
      <c r="C301" s="81">
        <f>350*1.15</f>
        <v>402.49999999999994</v>
      </c>
    </row>
    <row r="302" spans="1:3" ht="25.5" x14ac:dyDescent="0.2">
      <c r="A302" s="90" t="s">
        <v>1208</v>
      </c>
      <c r="B302" s="74" t="s">
        <v>1342</v>
      </c>
      <c r="C302" s="81">
        <f>490*1.15</f>
        <v>563.5</v>
      </c>
    </row>
    <row r="303" spans="1:3" ht="25.5" x14ac:dyDescent="0.2">
      <c r="A303" s="90" t="s">
        <v>1208</v>
      </c>
      <c r="B303" s="74" t="s">
        <v>1342</v>
      </c>
      <c r="C303" s="81">
        <f>490*1.15</f>
        <v>563.5</v>
      </c>
    </row>
    <row r="304" spans="1:3" ht="25.5" x14ac:dyDescent="0.2">
      <c r="A304" s="90" t="s">
        <v>1208</v>
      </c>
      <c r="B304" s="74" t="s">
        <v>1343</v>
      </c>
      <c r="C304" s="81">
        <f>700*1.15</f>
        <v>804.99999999999989</v>
      </c>
    </row>
    <row r="305" spans="1:3" ht="25.5" x14ac:dyDescent="0.2">
      <c r="A305" s="90" t="s">
        <v>1208</v>
      </c>
      <c r="B305" s="74" t="s">
        <v>1343</v>
      </c>
      <c r="C305" s="81">
        <f>700*1.15</f>
        <v>804.99999999999989</v>
      </c>
    </row>
    <row r="306" spans="1:3" x14ac:dyDescent="0.2">
      <c r="A306" s="90" t="s">
        <v>1208</v>
      </c>
      <c r="B306" s="74" t="s">
        <v>1344</v>
      </c>
      <c r="C306" s="81">
        <f>780*1.15</f>
        <v>896.99999999999989</v>
      </c>
    </row>
    <row r="307" spans="1:3" x14ac:dyDescent="0.2">
      <c r="A307" s="90" t="s">
        <v>1208</v>
      </c>
      <c r="B307" s="74" t="s">
        <v>1344</v>
      </c>
      <c r="C307" s="81">
        <f>780*1.15</f>
        <v>896.99999999999989</v>
      </c>
    </row>
    <row r="308" spans="1:3" x14ac:dyDescent="0.2">
      <c r="A308" s="90" t="s">
        <v>1208</v>
      </c>
      <c r="B308" s="74" t="s">
        <v>1345</v>
      </c>
      <c r="C308" s="81">
        <f>950*1.15</f>
        <v>1092.5</v>
      </c>
    </row>
    <row r="309" spans="1:3" x14ac:dyDescent="0.2">
      <c r="A309" s="90" t="s">
        <v>1208</v>
      </c>
      <c r="B309" s="74" t="s">
        <v>1345</v>
      </c>
      <c r="C309" s="81">
        <f>950*1.15</f>
        <v>1092.5</v>
      </c>
    </row>
    <row r="310" spans="1:3" ht="25.5" x14ac:dyDescent="0.2">
      <c r="A310" s="90" t="s">
        <v>1208</v>
      </c>
      <c r="B310" s="74" t="s">
        <v>1346</v>
      </c>
      <c r="C310" s="81">
        <f>1100*1.15</f>
        <v>1265</v>
      </c>
    </row>
    <row r="311" spans="1:3" ht="25.5" x14ac:dyDescent="0.2">
      <c r="A311" s="90" t="s">
        <v>1208</v>
      </c>
      <c r="B311" s="74" t="s">
        <v>1346</v>
      </c>
      <c r="C311" s="81">
        <f>1100*1.15</f>
        <v>1265</v>
      </c>
    </row>
    <row r="312" spans="1:3" x14ac:dyDescent="0.2">
      <c r="A312" s="90" t="s">
        <v>1208</v>
      </c>
      <c r="B312" s="74" t="s">
        <v>1347</v>
      </c>
      <c r="C312" s="81">
        <f>1200*1.15</f>
        <v>1380</v>
      </c>
    </row>
    <row r="313" spans="1:3" x14ac:dyDescent="0.2">
      <c r="A313" s="90" t="s">
        <v>1208</v>
      </c>
      <c r="B313" s="74" t="s">
        <v>1347</v>
      </c>
      <c r="C313" s="81">
        <f>1200*1.15</f>
        <v>1380</v>
      </c>
    </row>
    <row r="314" spans="1:3" x14ac:dyDescent="0.2">
      <c r="A314" s="90" t="s">
        <v>1208</v>
      </c>
      <c r="B314" s="74" t="s">
        <v>1348</v>
      </c>
      <c r="C314" s="81">
        <f>1200*1.15</f>
        <v>1380</v>
      </c>
    </row>
    <row r="315" spans="1:3" x14ac:dyDescent="0.2">
      <c r="A315" s="90" t="s">
        <v>1208</v>
      </c>
      <c r="B315" s="74" t="s">
        <v>1348</v>
      </c>
      <c r="C315" s="81">
        <f>1200*1.15</f>
        <v>1380</v>
      </c>
    </row>
    <row r="316" spans="1:3" x14ac:dyDescent="0.2">
      <c r="A316" s="90" t="s">
        <v>1208</v>
      </c>
      <c r="B316" s="74" t="s">
        <v>1349</v>
      </c>
      <c r="C316" s="81">
        <f>25500*1.15</f>
        <v>29324.999999999996</v>
      </c>
    </row>
    <row r="317" spans="1:3" ht="25.5" x14ac:dyDescent="0.2">
      <c r="A317" s="90" t="s">
        <v>1208</v>
      </c>
      <c r="B317" s="74" t="s">
        <v>1350</v>
      </c>
      <c r="C317" s="81">
        <f>3600*1.15</f>
        <v>4140</v>
      </c>
    </row>
    <row r="318" spans="1:3" ht="25.5" x14ac:dyDescent="0.2">
      <c r="A318" s="90" t="s">
        <v>1208</v>
      </c>
      <c r="B318" s="74" t="s">
        <v>1351</v>
      </c>
      <c r="C318" s="81">
        <f>133*1.15</f>
        <v>152.94999999999999</v>
      </c>
    </row>
    <row r="319" spans="1:3" ht="25.5" x14ac:dyDescent="0.2">
      <c r="A319" s="90" t="s">
        <v>1208</v>
      </c>
      <c r="B319" s="74" t="s">
        <v>1351</v>
      </c>
      <c r="C319" s="81">
        <f>133*1.15</f>
        <v>152.94999999999999</v>
      </c>
    </row>
    <row r="320" spans="1:3" x14ac:dyDescent="0.2">
      <c r="A320" s="90" t="s">
        <v>1208</v>
      </c>
      <c r="B320" s="74" t="s">
        <v>1352</v>
      </c>
      <c r="C320" s="81">
        <f>2350*1.15</f>
        <v>2702.5</v>
      </c>
    </row>
    <row r="321" spans="1:3" x14ac:dyDescent="0.2">
      <c r="A321" s="90" t="s">
        <v>1208</v>
      </c>
      <c r="B321" s="74" t="s">
        <v>1353</v>
      </c>
      <c r="C321" s="81">
        <f>67534*1.15</f>
        <v>77664.099999999991</v>
      </c>
    </row>
    <row r="322" spans="1:3" ht="25.5" x14ac:dyDescent="0.2">
      <c r="A322" s="90" t="s">
        <v>1208</v>
      </c>
      <c r="B322" s="74" t="s">
        <v>1354</v>
      </c>
      <c r="C322" s="81">
        <f>11600*1.15</f>
        <v>13339.999999999998</v>
      </c>
    </row>
    <row r="323" spans="1:3" x14ac:dyDescent="0.2">
      <c r="A323" s="90" t="s">
        <v>1208</v>
      </c>
      <c r="B323" s="74" t="s">
        <v>1353</v>
      </c>
      <c r="C323" s="81">
        <f>7200*1.15</f>
        <v>8280</v>
      </c>
    </row>
    <row r="324" spans="1:3" x14ac:dyDescent="0.2">
      <c r="A324" s="90" t="s">
        <v>1208</v>
      </c>
      <c r="B324" s="74" t="s">
        <v>1355</v>
      </c>
      <c r="C324" s="81">
        <f>41049.5*1.15</f>
        <v>47206.924999999996</v>
      </c>
    </row>
    <row r="325" spans="1:3" ht="25.5" x14ac:dyDescent="0.2">
      <c r="A325" s="90" t="s">
        <v>1208</v>
      </c>
      <c r="B325" s="74" t="s">
        <v>1356</v>
      </c>
      <c r="C325" s="81">
        <f>28500*1.15</f>
        <v>32775</v>
      </c>
    </row>
    <row r="326" spans="1:3" x14ac:dyDescent="0.2">
      <c r="A326" s="90" t="s">
        <v>1208</v>
      </c>
      <c r="B326" s="74" t="s">
        <v>1357</v>
      </c>
      <c r="C326" s="81">
        <v>182.61</v>
      </c>
    </row>
    <row r="327" spans="1:3" x14ac:dyDescent="0.2">
      <c r="A327" s="90" t="s">
        <v>1208</v>
      </c>
      <c r="B327" s="74" t="s">
        <v>1358</v>
      </c>
      <c r="C327" s="81">
        <v>730.43</v>
      </c>
    </row>
    <row r="328" spans="1:3" x14ac:dyDescent="0.2">
      <c r="A328" s="90" t="s">
        <v>1208</v>
      </c>
      <c r="B328" s="74" t="s">
        <v>1359</v>
      </c>
      <c r="C328" s="81">
        <v>4173.91</v>
      </c>
    </row>
    <row r="329" spans="1:3" x14ac:dyDescent="0.2">
      <c r="A329" s="90" t="s">
        <v>1208</v>
      </c>
      <c r="B329" s="74" t="s">
        <v>1360</v>
      </c>
      <c r="C329" s="81">
        <v>252.17</v>
      </c>
    </row>
    <row r="330" spans="1:3" x14ac:dyDescent="0.2">
      <c r="A330" s="90" t="s">
        <v>1208</v>
      </c>
      <c r="B330" s="74" t="s">
        <v>1361</v>
      </c>
      <c r="C330" s="81">
        <v>230.43</v>
      </c>
    </row>
    <row r="331" spans="1:3" x14ac:dyDescent="0.2">
      <c r="A331" s="90" t="s">
        <v>1208</v>
      </c>
      <c r="B331" s="74" t="s">
        <v>1362</v>
      </c>
      <c r="C331" s="81">
        <v>2690</v>
      </c>
    </row>
    <row r="332" spans="1:3" x14ac:dyDescent="0.2">
      <c r="A332" s="90" t="s">
        <v>1208</v>
      </c>
      <c r="B332" s="74" t="s">
        <v>1363</v>
      </c>
      <c r="C332" s="81">
        <v>2490</v>
      </c>
    </row>
    <row r="333" spans="1:3" x14ac:dyDescent="0.2">
      <c r="A333" s="90" t="s">
        <v>1208</v>
      </c>
      <c r="B333" s="74" t="s">
        <v>1363</v>
      </c>
      <c r="C333" s="81">
        <v>2490</v>
      </c>
    </row>
    <row r="334" spans="1:3" x14ac:dyDescent="0.2">
      <c r="A334" s="90" t="s">
        <v>1208</v>
      </c>
      <c r="B334" s="74" t="s">
        <v>1363</v>
      </c>
      <c r="C334" s="81">
        <v>2490</v>
      </c>
    </row>
    <row r="335" spans="1:3" x14ac:dyDescent="0.2">
      <c r="A335" s="90" t="s">
        <v>1208</v>
      </c>
      <c r="B335" s="74" t="s">
        <v>1364</v>
      </c>
      <c r="C335" s="81">
        <v>33000</v>
      </c>
    </row>
    <row r="336" spans="1:3" x14ac:dyDescent="0.2">
      <c r="A336" s="90" t="s">
        <v>1208</v>
      </c>
      <c r="B336" s="74" t="s">
        <v>1364</v>
      </c>
      <c r="C336" s="81">
        <v>33000</v>
      </c>
    </row>
    <row r="337" spans="1:3" ht="25.5" x14ac:dyDescent="0.2">
      <c r="A337" s="90" t="s">
        <v>1208</v>
      </c>
      <c r="B337" s="74" t="s">
        <v>1365</v>
      </c>
      <c r="C337" s="81">
        <f>535*1.15</f>
        <v>615.25</v>
      </c>
    </row>
    <row r="338" spans="1:3" x14ac:dyDescent="0.2">
      <c r="A338" s="90" t="s">
        <v>1208</v>
      </c>
      <c r="B338" s="74" t="s">
        <v>1366</v>
      </c>
      <c r="C338" s="81">
        <f>1625*1.15</f>
        <v>1868.7499999999998</v>
      </c>
    </row>
    <row r="339" spans="1:3" x14ac:dyDescent="0.2">
      <c r="A339" s="90" t="s">
        <v>1208</v>
      </c>
      <c r="B339" s="74" t="s">
        <v>1366</v>
      </c>
      <c r="C339" s="81">
        <f>1625*1.15</f>
        <v>1868.7499999999998</v>
      </c>
    </row>
    <row r="340" spans="1:3" ht="25.5" x14ac:dyDescent="0.2">
      <c r="A340" s="90" t="s">
        <v>1208</v>
      </c>
      <c r="B340" s="74" t="s">
        <v>1367</v>
      </c>
      <c r="C340" s="81">
        <f>700*1.15</f>
        <v>804.99999999999989</v>
      </c>
    </row>
    <row r="341" spans="1:3" ht="25.5" x14ac:dyDescent="0.2">
      <c r="A341" s="90" t="s">
        <v>1208</v>
      </c>
      <c r="B341" s="74" t="s">
        <v>1367</v>
      </c>
      <c r="C341" s="81">
        <f>700*1.15</f>
        <v>804.99999999999989</v>
      </c>
    </row>
    <row r="342" spans="1:3" ht="25.5" x14ac:dyDescent="0.2">
      <c r="A342" s="90" t="s">
        <v>1208</v>
      </c>
      <c r="B342" s="74" t="s">
        <v>1368</v>
      </c>
      <c r="C342" s="81">
        <f>1400*1.15</f>
        <v>1609.9999999999998</v>
      </c>
    </row>
    <row r="343" spans="1:3" ht="25.5" x14ac:dyDescent="0.2">
      <c r="A343" s="90" t="s">
        <v>1208</v>
      </c>
      <c r="B343" s="74" t="s">
        <v>1369</v>
      </c>
      <c r="C343" s="81">
        <f>170*1.15</f>
        <v>195.49999999999997</v>
      </c>
    </row>
    <row r="344" spans="1:3" ht="25.5" x14ac:dyDescent="0.2">
      <c r="A344" s="90" t="s">
        <v>1208</v>
      </c>
      <c r="B344" s="74" t="s">
        <v>1369</v>
      </c>
      <c r="C344" s="81">
        <f>170*1.15</f>
        <v>195.49999999999997</v>
      </c>
    </row>
    <row r="345" spans="1:3" ht="25.5" x14ac:dyDescent="0.2">
      <c r="A345" s="90" t="s">
        <v>1208</v>
      </c>
      <c r="B345" s="74" t="s">
        <v>1370</v>
      </c>
      <c r="C345" s="81">
        <f>220*1.15</f>
        <v>252.99999999999997</v>
      </c>
    </row>
    <row r="346" spans="1:3" ht="25.5" x14ac:dyDescent="0.2">
      <c r="A346" s="90" t="s">
        <v>1208</v>
      </c>
      <c r="B346" s="74" t="s">
        <v>1370</v>
      </c>
      <c r="C346" s="81">
        <f>220*1.15</f>
        <v>252.99999999999997</v>
      </c>
    </row>
    <row r="347" spans="1:3" ht="25.5" x14ac:dyDescent="0.2">
      <c r="A347" s="90" t="s">
        <v>1208</v>
      </c>
      <c r="B347" s="74" t="s">
        <v>1371</v>
      </c>
      <c r="C347" s="81">
        <f>150*1.15</f>
        <v>172.5</v>
      </c>
    </row>
    <row r="348" spans="1:3" x14ac:dyDescent="0.2">
      <c r="A348" s="90" t="s">
        <v>1208</v>
      </c>
      <c r="B348" s="74" t="s">
        <v>1372</v>
      </c>
      <c r="C348" s="81">
        <f>1350*1.15</f>
        <v>1552.4999999999998</v>
      </c>
    </row>
    <row r="349" spans="1:3" ht="25.5" x14ac:dyDescent="0.2">
      <c r="A349" s="90" t="s">
        <v>1208</v>
      </c>
      <c r="B349" s="74" t="s">
        <v>1373</v>
      </c>
      <c r="C349" s="81">
        <f>320*1.15</f>
        <v>368</v>
      </c>
    </row>
    <row r="350" spans="1:3" ht="25.5" x14ac:dyDescent="0.2">
      <c r="A350" s="90" t="s">
        <v>1208</v>
      </c>
      <c r="B350" s="74" t="s">
        <v>1373</v>
      </c>
      <c r="C350" s="81">
        <f>320*1.15</f>
        <v>368</v>
      </c>
    </row>
    <row r="351" spans="1:3" ht="25.5" x14ac:dyDescent="0.2">
      <c r="A351" s="90" t="s">
        <v>1208</v>
      </c>
      <c r="B351" s="74" t="s">
        <v>1374</v>
      </c>
      <c r="C351" s="81">
        <f>975*1.15</f>
        <v>1121.25</v>
      </c>
    </row>
    <row r="352" spans="1:3" ht="25.5" x14ac:dyDescent="0.2">
      <c r="A352" s="90" t="s">
        <v>1208</v>
      </c>
      <c r="B352" s="74" t="s">
        <v>1375</v>
      </c>
      <c r="C352" s="81">
        <f>475*1.15</f>
        <v>546.25</v>
      </c>
    </row>
    <row r="353" spans="1:3" ht="25.5" x14ac:dyDescent="0.2">
      <c r="A353" s="90" t="s">
        <v>1208</v>
      </c>
      <c r="B353" s="74" t="s">
        <v>1376</v>
      </c>
      <c r="C353" s="81">
        <f>475*1.15</f>
        <v>546.25</v>
      </c>
    </row>
    <row r="354" spans="1:3" ht="25.5" x14ac:dyDescent="0.2">
      <c r="A354" s="90" t="s">
        <v>1208</v>
      </c>
      <c r="B354" s="74" t="s">
        <v>1377</v>
      </c>
      <c r="C354" s="81">
        <f t="shared" ref="C354:C361" si="7">2135.35*1.16</f>
        <v>2477.0059999999999</v>
      </c>
    </row>
    <row r="355" spans="1:3" ht="25.5" x14ac:dyDescent="0.2">
      <c r="A355" s="90" t="s">
        <v>1208</v>
      </c>
      <c r="B355" s="74" t="s">
        <v>1377</v>
      </c>
      <c r="C355" s="81">
        <f t="shared" si="7"/>
        <v>2477.0059999999999</v>
      </c>
    </row>
    <row r="356" spans="1:3" ht="25.5" x14ac:dyDescent="0.2">
      <c r="A356" s="90" t="s">
        <v>1208</v>
      </c>
      <c r="B356" s="74" t="s">
        <v>1377</v>
      </c>
      <c r="C356" s="81">
        <f t="shared" si="7"/>
        <v>2477.0059999999999</v>
      </c>
    </row>
    <row r="357" spans="1:3" ht="25.5" x14ac:dyDescent="0.2">
      <c r="A357" s="90" t="s">
        <v>1208</v>
      </c>
      <c r="B357" s="74" t="s">
        <v>1377</v>
      </c>
      <c r="C357" s="81">
        <f t="shared" si="7"/>
        <v>2477.0059999999999</v>
      </c>
    </row>
    <row r="358" spans="1:3" ht="25.5" x14ac:dyDescent="0.2">
      <c r="A358" s="90" t="s">
        <v>1208</v>
      </c>
      <c r="B358" s="74" t="s">
        <v>1377</v>
      </c>
      <c r="C358" s="81">
        <f t="shared" si="7"/>
        <v>2477.0059999999999</v>
      </c>
    </row>
    <row r="359" spans="1:3" ht="25.5" x14ac:dyDescent="0.2">
      <c r="A359" s="90" t="s">
        <v>1208</v>
      </c>
      <c r="B359" s="74" t="s">
        <v>1377</v>
      </c>
      <c r="C359" s="81">
        <f t="shared" si="7"/>
        <v>2477.0059999999999</v>
      </c>
    </row>
    <row r="360" spans="1:3" ht="25.5" x14ac:dyDescent="0.2">
      <c r="A360" s="90" t="s">
        <v>1208</v>
      </c>
      <c r="B360" s="74" t="s">
        <v>1377</v>
      </c>
      <c r="C360" s="81">
        <f t="shared" si="7"/>
        <v>2477.0059999999999</v>
      </c>
    </row>
    <row r="361" spans="1:3" ht="25.5" x14ac:dyDescent="0.2">
      <c r="A361" s="90" t="s">
        <v>1208</v>
      </c>
      <c r="B361" s="74" t="s">
        <v>1377</v>
      </c>
      <c r="C361" s="81">
        <f t="shared" si="7"/>
        <v>2477.0059999999999</v>
      </c>
    </row>
    <row r="362" spans="1:3" ht="51" x14ac:dyDescent="0.2">
      <c r="A362" s="90" t="s">
        <v>1208</v>
      </c>
      <c r="B362" s="74" t="s">
        <v>1378</v>
      </c>
      <c r="C362" s="81">
        <v>911940.9</v>
      </c>
    </row>
    <row r="363" spans="1:3" ht="38.25" x14ac:dyDescent="0.2">
      <c r="A363" s="90" t="s">
        <v>1208</v>
      </c>
      <c r="B363" s="74" t="s">
        <v>1379</v>
      </c>
      <c r="C363" s="81">
        <v>1017523</v>
      </c>
    </row>
    <row r="364" spans="1:3" ht="76.5" x14ac:dyDescent="0.2">
      <c r="A364" s="90" t="s">
        <v>1208</v>
      </c>
      <c r="B364" s="74" t="s">
        <v>1380</v>
      </c>
      <c r="C364" s="81">
        <v>1320827</v>
      </c>
    </row>
    <row r="365" spans="1:3" ht="38.25" x14ac:dyDescent="0.2">
      <c r="A365" s="90" t="s">
        <v>1208</v>
      </c>
      <c r="B365" s="74" t="s">
        <v>1381</v>
      </c>
      <c r="C365" s="81">
        <v>42857.13</v>
      </c>
    </row>
    <row r="366" spans="1:3" ht="38.25" x14ac:dyDescent="0.2">
      <c r="A366" s="90" t="s">
        <v>1208</v>
      </c>
      <c r="B366" s="74" t="s">
        <v>1382</v>
      </c>
      <c r="C366" s="81">
        <v>42857.13</v>
      </c>
    </row>
    <row r="367" spans="1:3" x14ac:dyDescent="0.2">
      <c r="A367" s="90" t="s">
        <v>1208</v>
      </c>
      <c r="B367" s="74" t="s">
        <v>1383</v>
      </c>
      <c r="C367" s="81">
        <v>42857.13</v>
      </c>
    </row>
    <row r="368" spans="1:3" ht="25.5" x14ac:dyDescent="0.2">
      <c r="A368" s="90" t="s">
        <v>1208</v>
      </c>
      <c r="B368" s="74" t="s">
        <v>1384</v>
      </c>
      <c r="C368" s="81">
        <v>42857.13</v>
      </c>
    </row>
    <row r="369" spans="1:3" ht="25.5" x14ac:dyDescent="0.2">
      <c r="A369" s="90" t="s">
        <v>1208</v>
      </c>
      <c r="B369" s="74" t="s">
        <v>1385</v>
      </c>
      <c r="C369" s="81">
        <v>42857.13</v>
      </c>
    </row>
    <row r="370" spans="1:3" ht="25.5" x14ac:dyDescent="0.2">
      <c r="A370" s="90" t="s">
        <v>1208</v>
      </c>
      <c r="B370" s="74" t="s">
        <v>1386</v>
      </c>
      <c r="C370" s="81">
        <v>42857.13</v>
      </c>
    </row>
    <row r="371" spans="1:3" x14ac:dyDescent="0.2">
      <c r="A371" s="90" t="s">
        <v>1208</v>
      </c>
      <c r="B371" s="74" t="s">
        <v>1387</v>
      </c>
      <c r="C371" s="81">
        <v>42857.120000000003</v>
      </c>
    </row>
    <row r="372" spans="1:3" ht="25.5" x14ac:dyDescent="0.2">
      <c r="A372" s="90" t="s">
        <v>1208</v>
      </c>
      <c r="B372" s="74" t="s">
        <v>1388</v>
      </c>
      <c r="C372" s="81">
        <f t="shared" ref="C372:C377" si="8">98950*1.16</f>
        <v>114781.99999999999</v>
      </c>
    </row>
    <row r="373" spans="1:3" ht="25.5" x14ac:dyDescent="0.2">
      <c r="A373" s="90" t="s">
        <v>1208</v>
      </c>
      <c r="B373" s="74" t="s">
        <v>1388</v>
      </c>
      <c r="C373" s="81">
        <f t="shared" si="8"/>
        <v>114781.99999999999</v>
      </c>
    </row>
    <row r="374" spans="1:3" ht="25.5" x14ac:dyDescent="0.2">
      <c r="A374" s="90" t="s">
        <v>1208</v>
      </c>
      <c r="B374" s="74" t="s">
        <v>1388</v>
      </c>
      <c r="C374" s="81">
        <f t="shared" si="8"/>
        <v>114781.99999999999</v>
      </c>
    </row>
    <row r="375" spans="1:3" ht="25.5" x14ac:dyDescent="0.2">
      <c r="A375" s="90" t="s">
        <v>1208</v>
      </c>
      <c r="B375" s="74" t="s">
        <v>1388</v>
      </c>
      <c r="C375" s="81">
        <f t="shared" si="8"/>
        <v>114781.99999999999</v>
      </c>
    </row>
    <row r="376" spans="1:3" ht="25.5" x14ac:dyDescent="0.2">
      <c r="A376" s="90" t="s">
        <v>1208</v>
      </c>
      <c r="B376" s="74" t="s">
        <v>1388</v>
      </c>
      <c r="C376" s="81">
        <f t="shared" si="8"/>
        <v>114781.99999999999</v>
      </c>
    </row>
    <row r="377" spans="1:3" ht="25.5" x14ac:dyDescent="0.2">
      <c r="A377" s="90" t="s">
        <v>1208</v>
      </c>
      <c r="B377" s="74" t="s">
        <v>1388</v>
      </c>
      <c r="C377" s="81">
        <f t="shared" si="8"/>
        <v>114781.99999999999</v>
      </c>
    </row>
    <row r="378" spans="1:3" ht="25.5" x14ac:dyDescent="0.2">
      <c r="A378" s="90" t="s">
        <v>1208</v>
      </c>
      <c r="B378" s="74" t="s">
        <v>1389</v>
      </c>
      <c r="C378" s="81">
        <f t="shared" ref="C378:C383" si="9">95950*1.16</f>
        <v>111301.99999999999</v>
      </c>
    </row>
    <row r="379" spans="1:3" ht="25.5" x14ac:dyDescent="0.2">
      <c r="A379" s="90" t="s">
        <v>1208</v>
      </c>
      <c r="B379" s="74" t="s">
        <v>1389</v>
      </c>
      <c r="C379" s="81">
        <f t="shared" si="9"/>
        <v>111301.99999999999</v>
      </c>
    </row>
    <row r="380" spans="1:3" ht="25.5" x14ac:dyDescent="0.2">
      <c r="A380" s="90" t="s">
        <v>1208</v>
      </c>
      <c r="B380" s="74" t="s">
        <v>1389</v>
      </c>
      <c r="C380" s="81">
        <f t="shared" si="9"/>
        <v>111301.99999999999</v>
      </c>
    </row>
    <row r="381" spans="1:3" ht="25.5" x14ac:dyDescent="0.2">
      <c r="A381" s="90" t="s">
        <v>1208</v>
      </c>
      <c r="B381" s="74" t="s">
        <v>1389</v>
      </c>
      <c r="C381" s="81">
        <f t="shared" si="9"/>
        <v>111301.99999999999</v>
      </c>
    </row>
    <row r="382" spans="1:3" ht="25.5" x14ac:dyDescent="0.2">
      <c r="A382" s="90" t="s">
        <v>1208</v>
      </c>
      <c r="B382" s="74" t="s">
        <v>1389</v>
      </c>
      <c r="C382" s="81">
        <f t="shared" si="9"/>
        <v>111301.99999999999</v>
      </c>
    </row>
    <row r="383" spans="1:3" ht="25.5" x14ac:dyDescent="0.2">
      <c r="A383" s="90" t="s">
        <v>1208</v>
      </c>
      <c r="B383" s="74" t="s">
        <v>1389</v>
      </c>
      <c r="C383" s="81">
        <f t="shared" si="9"/>
        <v>111301.99999999999</v>
      </c>
    </row>
    <row r="384" spans="1:3" ht="25.5" x14ac:dyDescent="0.2">
      <c r="A384" s="90" t="s">
        <v>1208</v>
      </c>
      <c r="B384" s="74" t="s">
        <v>1390</v>
      </c>
      <c r="C384" s="81">
        <f t="shared" ref="C384:C389" si="10">59356.35*1.16</f>
        <v>68853.365999999995</v>
      </c>
    </row>
    <row r="385" spans="1:3" ht="25.5" x14ac:dyDescent="0.2">
      <c r="A385" s="90" t="s">
        <v>1208</v>
      </c>
      <c r="B385" s="74" t="s">
        <v>1390</v>
      </c>
      <c r="C385" s="81">
        <f t="shared" si="10"/>
        <v>68853.365999999995</v>
      </c>
    </row>
    <row r="386" spans="1:3" ht="25.5" x14ac:dyDescent="0.2">
      <c r="A386" s="90" t="s">
        <v>1208</v>
      </c>
      <c r="B386" s="74" t="s">
        <v>1390</v>
      </c>
      <c r="C386" s="81">
        <f t="shared" si="10"/>
        <v>68853.365999999995</v>
      </c>
    </row>
    <row r="387" spans="1:3" ht="25.5" x14ac:dyDescent="0.2">
      <c r="A387" s="90" t="s">
        <v>1208</v>
      </c>
      <c r="B387" s="74" t="s">
        <v>1390</v>
      </c>
      <c r="C387" s="81">
        <f t="shared" si="10"/>
        <v>68853.365999999995</v>
      </c>
    </row>
    <row r="388" spans="1:3" ht="25.5" x14ac:dyDescent="0.2">
      <c r="A388" s="90" t="s">
        <v>1208</v>
      </c>
      <c r="B388" s="74" t="s">
        <v>1390</v>
      </c>
      <c r="C388" s="81">
        <f t="shared" si="10"/>
        <v>68853.365999999995</v>
      </c>
    </row>
    <row r="389" spans="1:3" ht="25.5" x14ac:dyDescent="0.2">
      <c r="A389" s="90" t="s">
        <v>1208</v>
      </c>
      <c r="B389" s="74" t="s">
        <v>1390</v>
      </c>
      <c r="C389" s="81">
        <f t="shared" si="10"/>
        <v>68853.365999999995</v>
      </c>
    </row>
    <row r="390" spans="1:3" ht="54" customHeight="1" x14ac:dyDescent="0.2">
      <c r="A390" s="90" t="s">
        <v>1208</v>
      </c>
      <c r="B390" s="74" t="s">
        <v>1391</v>
      </c>
      <c r="C390" s="81">
        <f>230120*1.16</f>
        <v>266939.19999999995</v>
      </c>
    </row>
    <row r="391" spans="1:3" ht="54" customHeight="1" x14ac:dyDescent="0.2">
      <c r="A391" s="90" t="s">
        <v>1208</v>
      </c>
      <c r="B391" s="74" t="s">
        <v>1392</v>
      </c>
      <c r="C391" s="81">
        <f>250750*1.16</f>
        <v>290870</v>
      </c>
    </row>
    <row r="392" spans="1:3" ht="56.25" customHeight="1" x14ac:dyDescent="0.2">
      <c r="A392" s="90" t="s">
        <v>1208</v>
      </c>
      <c r="B392" s="74" t="s">
        <v>1393</v>
      </c>
      <c r="C392" s="81">
        <f>250750*1.16</f>
        <v>290870</v>
      </c>
    </row>
    <row r="393" spans="1:3" ht="25.5" x14ac:dyDescent="0.2">
      <c r="A393" s="90" t="s">
        <v>1208</v>
      </c>
      <c r="B393" s="74" t="s">
        <v>1394</v>
      </c>
      <c r="C393" s="81">
        <f>143850*1.16</f>
        <v>166866</v>
      </c>
    </row>
    <row r="394" spans="1:3" ht="25.5" x14ac:dyDescent="0.2">
      <c r="A394" s="90" t="s">
        <v>1208</v>
      </c>
      <c r="B394" s="74" t="s">
        <v>1395</v>
      </c>
      <c r="C394" s="81">
        <f>183550*1.16</f>
        <v>212917.99999999997</v>
      </c>
    </row>
    <row r="395" spans="1:3" ht="17.25" customHeight="1" x14ac:dyDescent="0.2">
      <c r="A395" s="90" t="s">
        <v>1208</v>
      </c>
      <c r="B395" s="74" t="s">
        <v>1396</v>
      </c>
      <c r="C395" s="81">
        <f>156350*1.16</f>
        <v>181366</v>
      </c>
    </row>
    <row r="396" spans="1:3" x14ac:dyDescent="0.2">
      <c r="A396" s="90" t="s">
        <v>1208</v>
      </c>
      <c r="B396" s="74" t="s">
        <v>1397</v>
      </c>
      <c r="C396" s="81">
        <v>8624.7971999999991</v>
      </c>
    </row>
    <row r="397" spans="1:3" x14ac:dyDescent="0.2">
      <c r="A397" s="90" t="s">
        <v>1208</v>
      </c>
      <c r="B397" s="74" t="s">
        <v>1398</v>
      </c>
      <c r="C397" s="81">
        <f>10500*1.16</f>
        <v>12180</v>
      </c>
    </row>
    <row r="398" spans="1:3" x14ac:dyDescent="0.2">
      <c r="A398" s="90" t="s">
        <v>1208</v>
      </c>
      <c r="B398" s="74" t="s">
        <v>1398</v>
      </c>
      <c r="C398" s="81">
        <f>10500*1.16</f>
        <v>12180</v>
      </c>
    </row>
    <row r="399" spans="1:3" x14ac:dyDescent="0.2">
      <c r="A399" s="90" t="s">
        <v>1208</v>
      </c>
      <c r="B399" s="74" t="s">
        <v>1398</v>
      </c>
      <c r="C399" s="81">
        <f>10500*1.16</f>
        <v>12180</v>
      </c>
    </row>
    <row r="400" spans="1:3" x14ac:dyDescent="0.2">
      <c r="A400" s="90" t="s">
        <v>1208</v>
      </c>
      <c r="B400" s="74" t="s">
        <v>1398</v>
      </c>
      <c r="C400" s="81">
        <f>10500*1.16</f>
        <v>12180</v>
      </c>
    </row>
    <row r="401" spans="1:3" x14ac:dyDescent="0.2">
      <c r="A401" s="90" t="s">
        <v>1208</v>
      </c>
      <c r="B401" s="74" t="s">
        <v>1398</v>
      </c>
      <c r="C401" s="81">
        <f>10500*1.16</f>
        <v>12180</v>
      </c>
    </row>
    <row r="402" spans="1:3" x14ac:dyDescent="0.2">
      <c r="A402" s="90" t="s">
        <v>1208</v>
      </c>
      <c r="B402" s="74" t="s">
        <v>1399</v>
      </c>
      <c r="C402" s="81">
        <f>21500*1.16</f>
        <v>24940</v>
      </c>
    </row>
    <row r="403" spans="1:3" ht="25.5" x14ac:dyDescent="0.2">
      <c r="A403" s="90" t="s">
        <v>1208</v>
      </c>
      <c r="B403" s="74" t="s">
        <v>1400</v>
      </c>
      <c r="C403" s="81">
        <f>45240*1.16</f>
        <v>52478.399999999994</v>
      </c>
    </row>
    <row r="404" spans="1:3" ht="25.5" x14ac:dyDescent="0.2">
      <c r="A404" s="90" t="s">
        <v>1208</v>
      </c>
      <c r="B404" s="74" t="s">
        <v>1400</v>
      </c>
      <c r="C404" s="81">
        <f>45240*1.16</f>
        <v>52478.399999999994</v>
      </c>
    </row>
    <row r="405" spans="1:3" ht="25.5" x14ac:dyDescent="0.2">
      <c r="A405" s="90" t="s">
        <v>1208</v>
      </c>
      <c r="B405" s="74" t="s">
        <v>1401</v>
      </c>
      <c r="C405" s="81">
        <f>25360*1.16</f>
        <v>29417.599999999999</v>
      </c>
    </row>
    <row r="406" spans="1:3" ht="56.25" customHeight="1" x14ac:dyDescent="0.2">
      <c r="A406" s="90" t="s">
        <v>1208</v>
      </c>
      <c r="B406" s="74" t="s">
        <v>1402</v>
      </c>
      <c r="C406" s="81">
        <f>132496*1.16</f>
        <v>153695.35999999999</v>
      </c>
    </row>
    <row r="407" spans="1:3" ht="27" customHeight="1" x14ac:dyDescent="0.2">
      <c r="A407" s="90" t="s">
        <v>1208</v>
      </c>
      <c r="B407" s="74" t="s">
        <v>1403</v>
      </c>
      <c r="C407" s="81">
        <f>198311*1.16</f>
        <v>230040.75999999998</v>
      </c>
    </row>
    <row r="408" spans="1:3" ht="28.5" customHeight="1" x14ac:dyDescent="0.2">
      <c r="A408" s="90" t="s">
        <v>1208</v>
      </c>
      <c r="B408" s="74" t="s">
        <v>1404</v>
      </c>
      <c r="C408" s="81">
        <f>198940*1.16</f>
        <v>230770.4</v>
      </c>
    </row>
    <row r="409" spans="1:3" ht="81" customHeight="1" x14ac:dyDescent="0.2">
      <c r="A409" s="90" t="s">
        <v>1208</v>
      </c>
      <c r="B409" s="74" t="s">
        <v>1405</v>
      </c>
      <c r="C409" s="81">
        <f>79500*1.16</f>
        <v>92220</v>
      </c>
    </row>
    <row r="410" spans="1:3" x14ac:dyDescent="0.2">
      <c r="A410" s="90" t="s">
        <v>1208</v>
      </c>
      <c r="B410" s="74" t="s">
        <v>1406</v>
      </c>
      <c r="C410" s="81">
        <f t="shared" ref="C410:C418" si="11">148*1.16</f>
        <v>171.67999999999998</v>
      </c>
    </row>
    <row r="411" spans="1:3" x14ac:dyDescent="0.2">
      <c r="A411" s="90" t="s">
        <v>1208</v>
      </c>
      <c r="B411" s="74" t="s">
        <v>1406</v>
      </c>
      <c r="C411" s="81">
        <f t="shared" si="11"/>
        <v>171.67999999999998</v>
      </c>
    </row>
    <row r="412" spans="1:3" x14ac:dyDescent="0.2">
      <c r="A412" s="90" t="s">
        <v>1208</v>
      </c>
      <c r="B412" s="74" t="s">
        <v>1406</v>
      </c>
      <c r="C412" s="81">
        <f t="shared" si="11"/>
        <v>171.67999999999998</v>
      </c>
    </row>
    <row r="413" spans="1:3" x14ac:dyDescent="0.2">
      <c r="A413" s="90" t="s">
        <v>1208</v>
      </c>
      <c r="B413" s="74" t="s">
        <v>1406</v>
      </c>
      <c r="C413" s="81">
        <f t="shared" si="11"/>
        <v>171.67999999999998</v>
      </c>
    </row>
    <row r="414" spans="1:3" x14ac:dyDescent="0.2">
      <c r="A414" s="90" t="s">
        <v>1208</v>
      </c>
      <c r="B414" s="74" t="s">
        <v>1406</v>
      </c>
      <c r="C414" s="81">
        <f t="shared" si="11"/>
        <v>171.67999999999998</v>
      </c>
    </row>
    <row r="415" spans="1:3" x14ac:dyDescent="0.2">
      <c r="A415" s="90" t="s">
        <v>1208</v>
      </c>
      <c r="B415" s="74" t="s">
        <v>1406</v>
      </c>
      <c r="C415" s="81">
        <f t="shared" si="11"/>
        <v>171.67999999999998</v>
      </c>
    </row>
    <row r="416" spans="1:3" x14ac:dyDescent="0.2">
      <c r="A416" s="90" t="s">
        <v>1208</v>
      </c>
      <c r="B416" s="74" t="s">
        <v>1406</v>
      </c>
      <c r="C416" s="81">
        <f t="shared" si="11"/>
        <v>171.67999999999998</v>
      </c>
    </row>
    <row r="417" spans="1:3" x14ac:dyDescent="0.2">
      <c r="A417" s="90" t="s">
        <v>1208</v>
      </c>
      <c r="B417" s="74" t="s">
        <v>1406</v>
      </c>
      <c r="C417" s="81">
        <f t="shared" si="11"/>
        <v>171.67999999999998</v>
      </c>
    </row>
    <row r="418" spans="1:3" x14ac:dyDescent="0.2">
      <c r="A418" s="90" t="s">
        <v>1208</v>
      </c>
      <c r="B418" s="74" t="s">
        <v>1406</v>
      </c>
      <c r="C418" s="81">
        <f t="shared" si="11"/>
        <v>171.67999999999998</v>
      </c>
    </row>
    <row r="419" spans="1:3" x14ac:dyDescent="0.2">
      <c r="A419" s="90" t="s">
        <v>1208</v>
      </c>
      <c r="B419" s="74" t="s">
        <v>1407</v>
      </c>
      <c r="C419" s="81">
        <f t="shared" ref="C419:C427" si="12">186*1.16</f>
        <v>215.76</v>
      </c>
    </row>
    <row r="420" spans="1:3" x14ac:dyDescent="0.2">
      <c r="A420" s="90" t="s">
        <v>1208</v>
      </c>
      <c r="B420" s="74" t="s">
        <v>1407</v>
      </c>
      <c r="C420" s="81">
        <f t="shared" si="12"/>
        <v>215.76</v>
      </c>
    </row>
    <row r="421" spans="1:3" x14ac:dyDescent="0.2">
      <c r="A421" s="90" t="s">
        <v>1208</v>
      </c>
      <c r="B421" s="74" t="s">
        <v>1407</v>
      </c>
      <c r="C421" s="81">
        <f t="shared" si="12"/>
        <v>215.76</v>
      </c>
    </row>
    <row r="422" spans="1:3" x14ac:dyDescent="0.2">
      <c r="A422" s="90" t="s">
        <v>1208</v>
      </c>
      <c r="B422" s="74" t="s">
        <v>1407</v>
      </c>
      <c r="C422" s="81">
        <f t="shared" si="12"/>
        <v>215.76</v>
      </c>
    </row>
    <row r="423" spans="1:3" x14ac:dyDescent="0.2">
      <c r="A423" s="90" t="s">
        <v>1208</v>
      </c>
      <c r="B423" s="74" t="s">
        <v>1407</v>
      </c>
      <c r="C423" s="81">
        <f t="shared" si="12"/>
        <v>215.76</v>
      </c>
    </row>
    <row r="424" spans="1:3" x14ac:dyDescent="0.2">
      <c r="A424" s="90" t="s">
        <v>1208</v>
      </c>
      <c r="B424" s="74" t="s">
        <v>1407</v>
      </c>
      <c r="C424" s="81">
        <f t="shared" si="12"/>
        <v>215.76</v>
      </c>
    </row>
    <row r="425" spans="1:3" x14ac:dyDescent="0.2">
      <c r="A425" s="90" t="s">
        <v>1208</v>
      </c>
      <c r="B425" s="74" t="s">
        <v>1407</v>
      </c>
      <c r="C425" s="81">
        <f t="shared" si="12"/>
        <v>215.76</v>
      </c>
    </row>
    <row r="426" spans="1:3" x14ac:dyDescent="0.2">
      <c r="A426" s="90" t="s">
        <v>1208</v>
      </c>
      <c r="B426" s="74" t="s">
        <v>1407</v>
      </c>
      <c r="C426" s="81">
        <f t="shared" si="12"/>
        <v>215.76</v>
      </c>
    </row>
    <row r="427" spans="1:3" x14ac:dyDescent="0.2">
      <c r="A427" s="90" t="s">
        <v>1208</v>
      </c>
      <c r="B427" s="74" t="s">
        <v>1407</v>
      </c>
      <c r="C427" s="81">
        <f t="shared" si="12"/>
        <v>215.76</v>
      </c>
    </row>
    <row r="428" spans="1:3" x14ac:dyDescent="0.2">
      <c r="A428" s="90" t="s">
        <v>1208</v>
      </c>
      <c r="B428" s="74" t="s">
        <v>1408</v>
      </c>
      <c r="C428" s="81">
        <f t="shared" ref="C428:C436" si="13">199*1.16</f>
        <v>230.83999999999997</v>
      </c>
    </row>
    <row r="429" spans="1:3" x14ac:dyDescent="0.2">
      <c r="A429" s="90" t="s">
        <v>1208</v>
      </c>
      <c r="B429" s="74" t="s">
        <v>1408</v>
      </c>
      <c r="C429" s="81">
        <f t="shared" si="13"/>
        <v>230.83999999999997</v>
      </c>
    </row>
    <row r="430" spans="1:3" x14ac:dyDescent="0.2">
      <c r="A430" s="90" t="s">
        <v>1208</v>
      </c>
      <c r="B430" s="74" t="s">
        <v>1408</v>
      </c>
      <c r="C430" s="81">
        <f t="shared" si="13"/>
        <v>230.83999999999997</v>
      </c>
    </row>
    <row r="431" spans="1:3" x14ac:dyDescent="0.2">
      <c r="A431" s="90" t="s">
        <v>1208</v>
      </c>
      <c r="B431" s="74" t="s">
        <v>1408</v>
      </c>
      <c r="C431" s="81">
        <f t="shared" si="13"/>
        <v>230.83999999999997</v>
      </c>
    </row>
    <row r="432" spans="1:3" x14ac:dyDescent="0.2">
      <c r="A432" s="90" t="s">
        <v>1208</v>
      </c>
      <c r="B432" s="74" t="s">
        <v>1408</v>
      </c>
      <c r="C432" s="81">
        <f t="shared" si="13"/>
        <v>230.83999999999997</v>
      </c>
    </row>
    <row r="433" spans="1:3" x14ac:dyDescent="0.2">
      <c r="A433" s="90" t="s">
        <v>1208</v>
      </c>
      <c r="B433" s="74" t="s">
        <v>1408</v>
      </c>
      <c r="C433" s="81">
        <f t="shared" si="13"/>
        <v>230.83999999999997</v>
      </c>
    </row>
    <row r="434" spans="1:3" x14ac:dyDescent="0.2">
      <c r="A434" s="90" t="s">
        <v>1208</v>
      </c>
      <c r="B434" s="74" t="s">
        <v>1408</v>
      </c>
      <c r="C434" s="81">
        <f t="shared" si="13"/>
        <v>230.83999999999997</v>
      </c>
    </row>
    <row r="435" spans="1:3" x14ac:dyDescent="0.2">
      <c r="A435" s="90" t="s">
        <v>1208</v>
      </c>
      <c r="B435" s="74" t="s">
        <v>1408</v>
      </c>
      <c r="C435" s="81">
        <f t="shared" si="13"/>
        <v>230.83999999999997</v>
      </c>
    </row>
    <row r="436" spans="1:3" x14ac:dyDescent="0.2">
      <c r="A436" s="90" t="s">
        <v>1208</v>
      </c>
      <c r="B436" s="74" t="s">
        <v>1408</v>
      </c>
      <c r="C436" s="81">
        <f t="shared" si="13"/>
        <v>230.83999999999997</v>
      </c>
    </row>
    <row r="437" spans="1:3" x14ac:dyDescent="0.2">
      <c r="A437" s="90" t="s">
        <v>1208</v>
      </c>
      <c r="B437" s="74" t="s">
        <v>1409</v>
      </c>
      <c r="C437" s="81">
        <f t="shared" ref="C437:C445" si="14">396*1.16</f>
        <v>459.35999999999996</v>
      </c>
    </row>
    <row r="438" spans="1:3" x14ac:dyDescent="0.2">
      <c r="A438" s="90" t="s">
        <v>1208</v>
      </c>
      <c r="B438" s="74" t="s">
        <v>1409</v>
      </c>
      <c r="C438" s="81">
        <f t="shared" si="14"/>
        <v>459.35999999999996</v>
      </c>
    </row>
    <row r="439" spans="1:3" x14ac:dyDescent="0.2">
      <c r="A439" s="90" t="s">
        <v>1208</v>
      </c>
      <c r="B439" s="74" t="s">
        <v>1409</v>
      </c>
      <c r="C439" s="81">
        <f t="shared" si="14"/>
        <v>459.35999999999996</v>
      </c>
    </row>
    <row r="440" spans="1:3" x14ac:dyDescent="0.2">
      <c r="A440" s="90" t="s">
        <v>1208</v>
      </c>
      <c r="B440" s="74" t="s">
        <v>1409</v>
      </c>
      <c r="C440" s="81">
        <f t="shared" si="14"/>
        <v>459.35999999999996</v>
      </c>
    </row>
    <row r="441" spans="1:3" x14ac:dyDescent="0.2">
      <c r="A441" s="90" t="s">
        <v>1208</v>
      </c>
      <c r="B441" s="74" t="s">
        <v>1409</v>
      </c>
      <c r="C441" s="81">
        <f t="shared" si="14"/>
        <v>459.35999999999996</v>
      </c>
    </row>
    <row r="442" spans="1:3" x14ac:dyDescent="0.2">
      <c r="A442" s="90" t="s">
        <v>1208</v>
      </c>
      <c r="B442" s="74" t="s">
        <v>1409</v>
      </c>
      <c r="C442" s="81">
        <f t="shared" si="14"/>
        <v>459.35999999999996</v>
      </c>
    </row>
    <row r="443" spans="1:3" x14ac:dyDescent="0.2">
      <c r="A443" s="90" t="s">
        <v>1208</v>
      </c>
      <c r="B443" s="74" t="s">
        <v>1409</v>
      </c>
      <c r="C443" s="81">
        <f t="shared" si="14"/>
        <v>459.35999999999996</v>
      </c>
    </row>
    <row r="444" spans="1:3" x14ac:dyDescent="0.2">
      <c r="A444" s="90" t="s">
        <v>1208</v>
      </c>
      <c r="B444" s="74" t="s">
        <v>1409</v>
      </c>
      <c r="C444" s="81">
        <f t="shared" si="14"/>
        <v>459.35999999999996</v>
      </c>
    </row>
    <row r="445" spans="1:3" x14ac:dyDescent="0.2">
      <c r="A445" s="90" t="s">
        <v>1208</v>
      </c>
      <c r="B445" s="74" t="s">
        <v>1409</v>
      </c>
      <c r="C445" s="81">
        <f t="shared" si="14"/>
        <v>459.35999999999996</v>
      </c>
    </row>
    <row r="446" spans="1:3" x14ac:dyDescent="0.2">
      <c r="A446" s="90" t="s">
        <v>1208</v>
      </c>
      <c r="B446" s="74" t="s">
        <v>1410</v>
      </c>
      <c r="C446" s="81">
        <f t="shared" ref="C446:C453" si="15">498*1.16</f>
        <v>577.67999999999995</v>
      </c>
    </row>
    <row r="447" spans="1:3" x14ac:dyDescent="0.2">
      <c r="A447" s="90" t="s">
        <v>1208</v>
      </c>
      <c r="B447" s="74" t="s">
        <v>1410</v>
      </c>
      <c r="C447" s="81">
        <f t="shared" si="15"/>
        <v>577.67999999999995</v>
      </c>
    </row>
    <row r="448" spans="1:3" x14ac:dyDescent="0.2">
      <c r="A448" s="90" t="s">
        <v>1208</v>
      </c>
      <c r="B448" s="74" t="s">
        <v>1410</v>
      </c>
      <c r="C448" s="81">
        <f t="shared" si="15"/>
        <v>577.67999999999995</v>
      </c>
    </row>
    <row r="449" spans="1:3" x14ac:dyDescent="0.2">
      <c r="A449" s="90" t="s">
        <v>1208</v>
      </c>
      <c r="B449" s="74" t="s">
        <v>1410</v>
      </c>
      <c r="C449" s="81">
        <f t="shared" si="15"/>
        <v>577.67999999999995</v>
      </c>
    </row>
    <row r="450" spans="1:3" x14ac:dyDescent="0.2">
      <c r="A450" s="90" t="s">
        <v>1208</v>
      </c>
      <c r="B450" s="74" t="s">
        <v>1410</v>
      </c>
      <c r="C450" s="81">
        <f t="shared" si="15"/>
        <v>577.67999999999995</v>
      </c>
    </row>
    <row r="451" spans="1:3" x14ac:dyDescent="0.2">
      <c r="A451" s="90" t="s">
        <v>1208</v>
      </c>
      <c r="B451" s="74" t="s">
        <v>1410</v>
      </c>
      <c r="C451" s="81">
        <f t="shared" si="15"/>
        <v>577.67999999999995</v>
      </c>
    </row>
    <row r="452" spans="1:3" x14ac:dyDescent="0.2">
      <c r="A452" s="90" t="s">
        <v>1208</v>
      </c>
      <c r="B452" s="74" t="s">
        <v>1410</v>
      </c>
      <c r="C452" s="81">
        <f t="shared" si="15"/>
        <v>577.67999999999995</v>
      </c>
    </row>
    <row r="453" spans="1:3" x14ac:dyDescent="0.2">
      <c r="A453" s="90" t="s">
        <v>1208</v>
      </c>
      <c r="B453" s="74" t="s">
        <v>1410</v>
      </c>
      <c r="C453" s="81">
        <f t="shared" si="15"/>
        <v>577.67999999999995</v>
      </c>
    </row>
    <row r="454" spans="1:3" x14ac:dyDescent="0.2">
      <c r="A454" s="90" t="s">
        <v>1208</v>
      </c>
      <c r="B454" s="74" t="s">
        <v>1410</v>
      </c>
      <c r="C454" s="81">
        <f>498*1.16</f>
        <v>577.67999999999995</v>
      </c>
    </row>
    <row r="455" spans="1:3" ht="12.75" customHeight="1" x14ac:dyDescent="0.2">
      <c r="A455" s="90" t="s">
        <v>1208</v>
      </c>
      <c r="B455" s="74" t="s">
        <v>1410</v>
      </c>
      <c r="C455" s="81">
        <f>498*1.16</f>
        <v>577.67999999999995</v>
      </c>
    </row>
    <row r="456" spans="1:3" ht="13.5" customHeight="1" x14ac:dyDescent="0.2">
      <c r="A456" s="90" t="s">
        <v>1208</v>
      </c>
      <c r="B456" s="74" t="s">
        <v>1411</v>
      </c>
      <c r="C456" s="81">
        <f t="shared" ref="C456:C465" si="16">576*1.16</f>
        <v>668.16</v>
      </c>
    </row>
    <row r="457" spans="1:3" ht="12.95" customHeight="1" x14ac:dyDescent="0.2">
      <c r="A457" s="90" t="s">
        <v>1208</v>
      </c>
      <c r="B457" s="74" t="s">
        <v>1411</v>
      </c>
      <c r="C457" s="81">
        <f t="shared" si="16"/>
        <v>668.16</v>
      </c>
    </row>
    <row r="458" spans="1:3" ht="12.95" customHeight="1" x14ac:dyDescent="0.2">
      <c r="A458" s="90" t="s">
        <v>1208</v>
      </c>
      <c r="B458" s="74" t="s">
        <v>1411</v>
      </c>
      <c r="C458" s="81">
        <f t="shared" si="16"/>
        <v>668.16</v>
      </c>
    </row>
    <row r="459" spans="1:3" ht="12.95" customHeight="1" x14ac:dyDescent="0.2">
      <c r="A459" s="90" t="s">
        <v>1208</v>
      </c>
      <c r="B459" s="74" t="s">
        <v>1411</v>
      </c>
      <c r="C459" s="81">
        <f t="shared" si="16"/>
        <v>668.16</v>
      </c>
    </row>
    <row r="460" spans="1:3" ht="12.95" customHeight="1" x14ac:dyDescent="0.2">
      <c r="A460" s="90" t="s">
        <v>1208</v>
      </c>
      <c r="B460" s="74" t="s">
        <v>1411</v>
      </c>
      <c r="C460" s="81">
        <f t="shared" si="16"/>
        <v>668.16</v>
      </c>
    </row>
    <row r="461" spans="1:3" ht="12.95" customHeight="1" x14ac:dyDescent="0.2">
      <c r="A461" s="90" t="s">
        <v>1208</v>
      </c>
      <c r="B461" s="74" t="s">
        <v>1411</v>
      </c>
      <c r="C461" s="81">
        <f t="shared" si="16"/>
        <v>668.16</v>
      </c>
    </row>
    <row r="462" spans="1:3" ht="12.95" customHeight="1" x14ac:dyDescent="0.2">
      <c r="A462" s="90" t="s">
        <v>1208</v>
      </c>
      <c r="B462" s="74" t="s">
        <v>1411</v>
      </c>
      <c r="C462" s="81">
        <f t="shared" si="16"/>
        <v>668.16</v>
      </c>
    </row>
    <row r="463" spans="1:3" ht="12.95" customHeight="1" x14ac:dyDescent="0.2">
      <c r="A463" s="90" t="s">
        <v>1208</v>
      </c>
      <c r="B463" s="74" t="s">
        <v>1411</v>
      </c>
      <c r="C463" s="81">
        <f t="shared" si="16"/>
        <v>668.16</v>
      </c>
    </row>
    <row r="464" spans="1:3" ht="12.95" customHeight="1" x14ac:dyDescent="0.2">
      <c r="A464" s="90" t="s">
        <v>1208</v>
      </c>
      <c r="B464" s="74" t="s">
        <v>1411</v>
      </c>
      <c r="C464" s="81">
        <f t="shared" si="16"/>
        <v>668.16</v>
      </c>
    </row>
    <row r="465" spans="1:3" ht="12.95" customHeight="1" x14ac:dyDescent="0.2">
      <c r="A465" s="90" t="s">
        <v>1208</v>
      </c>
      <c r="B465" s="74" t="s">
        <v>1411</v>
      </c>
      <c r="C465" s="81">
        <f t="shared" si="16"/>
        <v>668.16</v>
      </c>
    </row>
    <row r="466" spans="1:3" ht="54" customHeight="1" x14ac:dyDescent="0.2">
      <c r="A466" s="90" t="s">
        <v>1208</v>
      </c>
      <c r="B466" s="74" t="s">
        <v>1412</v>
      </c>
      <c r="C466" s="81">
        <f>20122*1.16</f>
        <v>23341.519999999997</v>
      </c>
    </row>
    <row r="467" spans="1:3" ht="54" customHeight="1" x14ac:dyDescent="0.2">
      <c r="A467" s="90" t="s">
        <v>1208</v>
      </c>
      <c r="B467" s="74" t="s">
        <v>1412</v>
      </c>
      <c r="C467" s="81">
        <f>20122*1.16</f>
        <v>23341.519999999997</v>
      </c>
    </row>
    <row r="468" spans="1:3" ht="78.75" customHeight="1" x14ac:dyDescent="0.2">
      <c r="A468" s="90" t="s">
        <v>1208</v>
      </c>
      <c r="B468" s="74" t="s">
        <v>1413</v>
      </c>
      <c r="C468" s="81">
        <f>25460*1.16</f>
        <v>29533.599999999999</v>
      </c>
    </row>
    <row r="469" spans="1:3" ht="54" customHeight="1" x14ac:dyDescent="0.2">
      <c r="A469" s="90" t="s">
        <v>1208</v>
      </c>
      <c r="B469" s="74" t="s">
        <v>1414</v>
      </c>
      <c r="C469" s="81">
        <f>5195*1.16</f>
        <v>6026.2</v>
      </c>
    </row>
    <row r="470" spans="1:3" ht="53.25" customHeight="1" x14ac:dyDescent="0.2">
      <c r="A470" s="90" t="s">
        <v>1208</v>
      </c>
      <c r="B470" s="74" t="s">
        <v>1414</v>
      </c>
      <c r="C470" s="81">
        <f>5195*1.16</f>
        <v>6026.2</v>
      </c>
    </row>
    <row r="471" spans="1:3" ht="102" x14ac:dyDescent="0.2">
      <c r="A471" s="90" t="s">
        <v>1208</v>
      </c>
      <c r="B471" s="74" t="s">
        <v>1415</v>
      </c>
      <c r="C471" s="81">
        <f>60475*1.16</f>
        <v>70151</v>
      </c>
    </row>
    <row r="472" spans="1:3" ht="89.25" x14ac:dyDescent="0.2">
      <c r="A472" s="90" t="s">
        <v>1208</v>
      </c>
      <c r="B472" s="74" t="s">
        <v>1416</v>
      </c>
      <c r="C472" s="81">
        <f>24850*1.16</f>
        <v>28825.999999999996</v>
      </c>
    </row>
    <row r="473" spans="1:3" ht="117.75" customHeight="1" x14ac:dyDescent="0.2">
      <c r="A473" s="90" t="s">
        <v>1208</v>
      </c>
      <c r="B473" s="74" t="s">
        <v>1416</v>
      </c>
      <c r="C473" s="81">
        <f>24850*1.16</f>
        <v>28825.999999999996</v>
      </c>
    </row>
    <row r="474" spans="1:3" ht="80.25" customHeight="1" x14ac:dyDescent="0.2">
      <c r="A474" s="90" t="s">
        <v>1208</v>
      </c>
      <c r="B474" s="74" t="s">
        <v>1417</v>
      </c>
      <c r="C474" s="81">
        <f>65965*1.16</f>
        <v>76519.399999999994</v>
      </c>
    </row>
    <row r="475" spans="1:3" ht="66.75" customHeight="1" x14ac:dyDescent="0.2">
      <c r="A475" s="90" t="s">
        <v>1208</v>
      </c>
      <c r="B475" s="74" t="s">
        <v>1418</v>
      </c>
      <c r="C475" s="81">
        <f>750000</f>
        <v>750000</v>
      </c>
    </row>
    <row r="476" spans="1:3" ht="25.5" x14ac:dyDescent="0.2">
      <c r="A476" s="90" t="s">
        <v>1208</v>
      </c>
      <c r="B476" s="74" t="s">
        <v>1419</v>
      </c>
      <c r="C476" s="81">
        <v>500000</v>
      </c>
    </row>
    <row r="477" spans="1:3" x14ac:dyDescent="0.2">
      <c r="A477" s="90" t="s">
        <v>1208</v>
      </c>
      <c r="B477" s="74" t="s">
        <v>1420</v>
      </c>
      <c r="C477" s="81" t="s">
        <v>1443</v>
      </c>
    </row>
    <row r="478" spans="1:3" ht="25.5" x14ac:dyDescent="0.2">
      <c r="A478" s="90" t="s">
        <v>1208</v>
      </c>
      <c r="B478" s="74" t="s">
        <v>1421</v>
      </c>
      <c r="C478" s="81">
        <v>1132583.3999999999</v>
      </c>
    </row>
    <row r="479" spans="1:3" ht="90.75" customHeight="1" x14ac:dyDescent="0.2">
      <c r="A479" s="90" t="s">
        <v>1208</v>
      </c>
      <c r="B479" s="74" t="s">
        <v>1422</v>
      </c>
      <c r="C479" s="81">
        <v>716484.6</v>
      </c>
    </row>
    <row r="480" spans="1:3" x14ac:dyDescent="0.2">
      <c r="A480" s="90" t="s">
        <v>1208</v>
      </c>
      <c r="B480" s="74" t="s">
        <v>1423</v>
      </c>
      <c r="C480" s="81">
        <f>588863.85+588863.85</f>
        <v>1177727.7</v>
      </c>
    </row>
    <row r="481" spans="1:3" x14ac:dyDescent="0.2">
      <c r="A481" s="90" t="s">
        <v>1208</v>
      </c>
      <c r="B481" s="74" t="s">
        <v>1423</v>
      </c>
      <c r="C481" s="81"/>
    </row>
    <row r="482" spans="1:3" x14ac:dyDescent="0.2">
      <c r="A482" s="90" t="s">
        <v>1208</v>
      </c>
      <c r="B482" s="74" t="s">
        <v>1423</v>
      </c>
      <c r="C482" s="81"/>
    </row>
    <row r="483" spans="1:3" ht="81" customHeight="1" x14ac:dyDescent="0.2">
      <c r="A483" s="90" t="s">
        <v>1208</v>
      </c>
      <c r="B483" s="74" t="s">
        <v>1424</v>
      </c>
      <c r="C483" s="81"/>
    </row>
    <row r="484" spans="1:3" ht="76.5" x14ac:dyDescent="0.2">
      <c r="A484" s="90" t="s">
        <v>1208</v>
      </c>
      <c r="B484" s="74" t="s">
        <v>1425</v>
      </c>
      <c r="C484" s="81"/>
    </row>
    <row r="485" spans="1:3" ht="76.5" x14ac:dyDescent="0.2">
      <c r="A485" s="90" t="s">
        <v>1208</v>
      </c>
      <c r="B485" s="74" t="s">
        <v>1426</v>
      </c>
      <c r="C485" s="81"/>
    </row>
    <row r="486" spans="1:3" ht="89.25" x14ac:dyDescent="0.2">
      <c r="A486" s="90" t="s">
        <v>1208</v>
      </c>
      <c r="B486" s="74" t="s">
        <v>1427</v>
      </c>
      <c r="C486" s="81"/>
    </row>
    <row r="487" spans="1:3" x14ac:dyDescent="0.2">
      <c r="A487" s="90" t="s">
        <v>1208</v>
      </c>
      <c r="B487" s="74" t="s">
        <v>1428</v>
      </c>
      <c r="C487" s="81">
        <v>110249</v>
      </c>
    </row>
    <row r="488" spans="1:3" x14ac:dyDescent="0.2">
      <c r="A488" s="90" t="s">
        <v>1208</v>
      </c>
      <c r="B488" s="74" t="s">
        <v>1429</v>
      </c>
      <c r="C488" s="81"/>
    </row>
    <row r="489" spans="1:3" x14ac:dyDescent="0.2">
      <c r="A489" s="90" t="s">
        <v>1208</v>
      </c>
      <c r="B489" s="74" t="s">
        <v>1430</v>
      </c>
      <c r="C489" s="81"/>
    </row>
    <row r="490" spans="1:3" x14ac:dyDescent="0.2">
      <c r="A490" s="90" t="s">
        <v>1208</v>
      </c>
      <c r="B490" s="74" t="s">
        <v>1431</v>
      </c>
      <c r="C490" s="81"/>
    </row>
    <row r="491" spans="1:3" x14ac:dyDescent="0.2">
      <c r="A491" s="90" t="s">
        <v>1208</v>
      </c>
      <c r="B491" s="74" t="s">
        <v>1432</v>
      </c>
      <c r="C491" s="81"/>
    </row>
    <row r="492" spans="1:3" x14ac:dyDescent="0.2">
      <c r="A492" s="90" t="s">
        <v>1208</v>
      </c>
      <c r="B492" s="74" t="s">
        <v>1432</v>
      </c>
      <c r="C492" s="81"/>
    </row>
    <row r="493" spans="1:3" x14ac:dyDescent="0.2">
      <c r="A493" s="90" t="s">
        <v>1208</v>
      </c>
      <c r="B493" s="74" t="s">
        <v>1432</v>
      </c>
      <c r="C493" s="81"/>
    </row>
    <row r="494" spans="1:3" x14ac:dyDescent="0.2">
      <c r="A494" s="90" t="s">
        <v>1208</v>
      </c>
      <c r="B494" s="74" t="s">
        <v>1432</v>
      </c>
      <c r="C494" s="81"/>
    </row>
    <row r="495" spans="1:3" x14ac:dyDescent="0.2">
      <c r="A495" s="90" t="s">
        <v>1208</v>
      </c>
      <c r="B495" s="74" t="s">
        <v>1432</v>
      </c>
      <c r="C495" s="81"/>
    </row>
    <row r="496" spans="1:3" x14ac:dyDescent="0.2">
      <c r="A496" s="90" t="s">
        <v>1208</v>
      </c>
      <c r="B496" s="74" t="s">
        <v>1432</v>
      </c>
      <c r="C496" s="81"/>
    </row>
    <row r="497" spans="1:3" x14ac:dyDescent="0.2">
      <c r="A497" s="90" t="s">
        <v>1208</v>
      </c>
      <c r="B497" s="74" t="s">
        <v>1432</v>
      </c>
      <c r="C497" s="81"/>
    </row>
    <row r="498" spans="1:3" x14ac:dyDescent="0.2">
      <c r="A498" s="90" t="s">
        <v>1208</v>
      </c>
      <c r="B498" s="74" t="s">
        <v>1432</v>
      </c>
      <c r="C498" s="81"/>
    </row>
    <row r="499" spans="1:3" x14ac:dyDescent="0.2">
      <c r="A499" s="90" t="s">
        <v>1208</v>
      </c>
      <c r="B499" s="74" t="s">
        <v>1432</v>
      </c>
      <c r="C499" s="81"/>
    </row>
    <row r="500" spans="1:3" x14ac:dyDescent="0.2">
      <c r="A500" s="90" t="s">
        <v>1208</v>
      </c>
      <c r="B500" s="74" t="s">
        <v>1432</v>
      </c>
      <c r="C500" s="81"/>
    </row>
    <row r="501" spans="1:3" x14ac:dyDescent="0.2">
      <c r="A501" s="90" t="s">
        <v>1208</v>
      </c>
      <c r="B501" s="74" t="s">
        <v>1433</v>
      </c>
      <c r="C501" s="81"/>
    </row>
    <row r="502" spans="1:3" x14ac:dyDescent="0.2">
      <c r="A502" s="90" t="s">
        <v>1208</v>
      </c>
      <c r="B502" s="74" t="s">
        <v>1434</v>
      </c>
      <c r="C502" s="81"/>
    </row>
    <row r="503" spans="1:3" x14ac:dyDescent="0.2">
      <c r="A503" s="90" t="s">
        <v>1208</v>
      </c>
      <c r="B503" s="74" t="s">
        <v>1435</v>
      </c>
      <c r="C503" s="81"/>
    </row>
    <row r="504" spans="1:3" ht="127.5" x14ac:dyDescent="0.2">
      <c r="A504" s="90" t="s">
        <v>1208</v>
      </c>
      <c r="B504" s="74" t="s">
        <v>1436</v>
      </c>
      <c r="C504" s="81">
        <f>682660*2</f>
        <v>1365320</v>
      </c>
    </row>
    <row r="505" spans="1:3" ht="277.5" x14ac:dyDescent="0.2">
      <c r="A505" s="90" t="s">
        <v>1208</v>
      </c>
      <c r="B505" s="74" t="s">
        <v>1437</v>
      </c>
      <c r="C505" s="81">
        <f>750844.8*2</f>
        <v>1501689.6</v>
      </c>
    </row>
    <row r="506" spans="1:3" ht="38.25" x14ac:dyDescent="0.2">
      <c r="A506" s="90" t="s">
        <v>1208</v>
      </c>
      <c r="B506" s="74" t="s">
        <v>1438</v>
      </c>
      <c r="C506" s="81">
        <v>200000</v>
      </c>
    </row>
    <row r="507" spans="1:3" ht="215.25" x14ac:dyDescent="0.2">
      <c r="A507" s="90" t="s">
        <v>1208</v>
      </c>
      <c r="B507" s="93" t="s">
        <v>1442</v>
      </c>
      <c r="C507" s="81">
        <v>100000</v>
      </c>
    </row>
    <row r="508" spans="1:3" ht="132" customHeight="1" x14ac:dyDescent="0.2">
      <c r="A508" s="90" t="s">
        <v>1208</v>
      </c>
      <c r="B508" s="74" t="s">
        <v>1439</v>
      </c>
      <c r="C508" s="81">
        <v>100000</v>
      </c>
    </row>
    <row r="509" spans="1:3" ht="25.5" x14ac:dyDescent="0.2">
      <c r="A509" s="90" t="s">
        <v>1208</v>
      </c>
      <c r="B509" s="74" t="s">
        <v>1440</v>
      </c>
      <c r="C509" s="81">
        <v>200000</v>
      </c>
    </row>
    <row r="510" spans="1:3" x14ac:dyDescent="0.2">
      <c r="A510" s="90" t="s">
        <v>1208</v>
      </c>
      <c r="B510" s="74" t="s">
        <v>1441</v>
      </c>
      <c r="C510" s="81">
        <v>40600</v>
      </c>
    </row>
    <row r="511" spans="1:3" x14ac:dyDescent="0.2">
      <c r="A511" s="90" t="s">
        <v>1208</v>
      </c>
      <c r="B511" s="74" t="s">
        <v>1441</v>
      </c>
      <c r="C511" s="81">
        <v>40600</v>
      </c>
    </row>
    <row r="512" spans="1:3" ht="13.5" thickBot="1" x14ac:dyDescent="0.25">
      <c r="A512" s="63"/>
      <c r="B512" s="64"/>
      <c r="C512" s="64"/>
    </row>
    <row r="513" spans="1:3" x14ac:dyDescent="0.2">
      <c r="A513" s="95"/>
      <c r="B513" s="95"/>
      <c r="C513" s="95"/>
    </row>
    <row r="514" spans="1:3" x14ac:dyDescent="0.2">
      <c r="A514" s="95"/>
      <c r="B514" s="95"/>
      <c r="C514" s="95"/>
    </row>
    <row r="516" spans="1:3" ht="12" customHeight="1" x14ac:dyDescent="0.2"/>
    <row r="517" spans="1:3" x14ac:dyDescent="0.2">
      <c r="B517" s="54"/>
      <c r="C517" s="54"/>
    </row>
    <row r="518" spans="1:3" x14ac:dyDescent="0.2">
      <c r="B518" s="54"/>
      <c r="C518" s="54"/>
    </row>
    <row r="519" spans="1:3" x14ac:dyDescent="0.2">
      <c r="B519" s="54"/>
      <c r="C519" s="54"/>
    </row>
    <row r="520" spans="1:3" x14ac:dyDescent="0.2">
      <c r="B520" s="54"/>
      <c r="C520" s="54"/>
    </row>
    <row r="521" spans="1:3" x14ac:dyDescent="0.2">
      <c r="B521" s="54"/>
      <c r="C521" s="54"/>
    </row>
    <row r="522" spans="1:3" x14ac:dyDescent="0.2">
      <c r="B522" s="54"/>
      <c r="C522" s="54"/>
    </row>
    <row r="523" spans="1:3" x14ac:dyDescent="0.2">
      <c r="B523" s="54"/>
      <c r="C523" s="54"/>
    </row>
    <row r="524" spans="1:3" x14ac:dyDescent="0.2">
      <c r="B524" s="54"/>
      <c r="C524" s="54"/>
    </row>
    <row r="525" spans="1:3" x14ac:dyDescent="0.2">
      <c r="B525" s="54"/>
      <c r="C525" s="54"/>
    </row>
    <row r="526" spans="1:3" x14ac:dyDescent="0.2">
      <c r="B526" s="54"/>
      <c r="C526" s="54"/>
    </row>
    <row r="527" spans="1:3" x14ac:dyDescent="0.2">
      <c r="B527" s="54"/>
      <c r="C527" s="54"/>
    </row>
    <row r="528" spans="1:3" x14ac:dyDescent="0.2">
      <c r="A528" s="66"/>
    </row>
    <row r="529" spans="1:3" x14ac:dyDescent="0.2">
      <c r="A529" s="66"/>
      <c r="B529" s="67"/>
    </row>
    <row r="530" spans="1:3" ht="12.75" customHeight="1" x14ac:dyDescent="0.2">
      <c r="A530" s="66"/>
      <c r="B530" s="71"/>
      <c r="C530" s="71"/>
    </row>
    <row r="531" spans="1:3" ht="12.75" customHeight="1" x14ac:dyDescent="0.2">
      <c r="B531" s="71"/>
      <c r="C531" s="71"/>
    </row>
    <row r="542" spans="1:3" s="68" customFormat="1" ht="11.25" x14ac:dyDescent="0.2"/>
  </sheetData>
  <printOptions horizontalCentered="1"/>
  <pageMargins left="0.35433070866141736" right="3.937007874015748E-2" top="0.51181102362204722" bottom="0.62992125984251968" header="0" footer="0"/>
  <pageSetup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04"/>
  <sheetViews>
    <sheetView showGridLines="0" zoomScaleNormal="100" workbookViewId="0">
      <pane ySplit="6" topLeftCell="A58" activePane="bottomLeft" state="frozen"/>
      <selection pane="bottomLeft" activeCell="F78" sqref="F78"/>
    </sheetView>
  </sheetViews>
  <sheetFormatPr baseColWidth="10" defaultRowHeight="12.75" x14ac:dyDescent="0.2"/>
  <cols>
    <col min="1" max="1" width="31.140625" style="50" customWidth="1"/>
    <col min="2" max="2" width="50.85546875" style="50" customWidth="1"/>
    <col min="3" max="3" width="34.85546875" style="50" customWidth="1"/>
    <col min="4" max="16384" width="11.42578125" style="50"/>
  </cols>
  <sheetData>
    <row r="1" spans="1:8" ht="15.75" customHeight="1" x14ac:dyDescent="0.25">
      <c r="A1" s="55"/>
      <c r="B1" s="55"/>
      <c r="C1" s="72" t="s">
        <v>150</v>
      </c>
      <c r="D1" s="53"/>
      <c r="E1" s="53"/>
      <c r="F1" s="53"/>
      <c r="G1" s="53"/>
      <c r="H1" s="53"/>
    </row>
    <row r="2" spans="1:8" ht="23.25" customHeight="1" x14ac:dyDescent="0.25">
      <c r="A2" s="51" t="s">
        <v>314</v>
      </c>
      <c r="B2" s="52"/>
      <c r="C2" s="52"/>
      <c r="D2" s="53"/>
      <c r="E2" s="53"/>
      <c r="F2" s="53"/>
      <c r="G2" s="53"/>
      <c r="H2" s="53"/>
    </row>
    <row r="3" spans="1:8" ht="15" x14ac:dyDescent="0.25">
      <c r="A3" s="51" t="s">
        <v>152</v>
      </c>
      <c r="B3" s="51"/>
      <c r="C3" s="51"/>
    </row>
    <row r="4" spans="1:8" ht="12.75" customHeight="1" x14ac:dyDescent="0.25">
      <c r="A4" s="56"/>
      <c r="B4" s="56"/>
      <c r="C4" s="56"/>
    </row>
    <row r="5" spans="1:8" ht="13.5" thickBot="1" x14ac:dyDescent="0.25">
      <c r="A5" s="57" t="s">
        <v>20</v>
      </c>
      <c r="B5" s="57" t="s">
        <v>21</v>
      </c>
      <c r="C5" s="57" t="s">
        <v>16</v>
      </c>
    </row>
    <row r="6" spans="1:8" ht="31.5" customHeight="1" thickBot="1" x14ac:dyDescent="0.25">
      <c r="A6" s="69" t="s">
        <v>148</v>
      </c>
      <c r="B6" s="70" t="s">
        <v>132</v>
      </c>
      <c r="C6" s="70" t="s">
        <v>149</v>
      </c>
    </row>
    <row r="7" spans="1:8" ht="15.95" customHeight="1" x14ac:dyDescent="0.2">
      <c r="A7" s="90" t="s">
        <v>1444</v>
      </c>
      <c r="B7" s="74" t="s">
        <v>1445</v>
      </c>
      <c r="C7" s="81">
        <v>188706.38</v>
      </c>
    </row>
    <row r="8" spans="1:8" ht="15.95" customHeight="1" x14ac:dyDescent="0.2">
      <c r="A8" s="90" t="s">
        <v>1444</v>
      </c>
      <c r="B8" s="74" t="s">
        <v>1446</v>
      </c>
      <c r="C8" s="81">
        <v>43350</v>
      </c>
    </row>
    <row r="9" spans="1:8" ht="15.95" customHeight="1" x14ac:dyDescent="0.2">
      <c r="A9" s="90" t="s">
        <v>1444</v>
      </c>
      <c r="B9" s="74" t="s">
        <v>1447</v>
      </c>
      <c r="C9" s="81">
        <v>995.73</v>
      </c>
    </row>
    <row r="10" spans="1:8" ht="15.95" customHeight="1" x14ac:dyDescent="0.2">
      <c r="A10" s="90" t="s">
        <v>1444</v>
      </c>
      <c r="B10" s="74" t="s">
        <v>1447</v>
      </c>
      <c r="C10" s="81">
        <v>995.73</v>
      </c>
    </row>
    <row r="11" spans="1:8" ht="28.5" customHeight="1" x14ac:dyDescent="0.2">
      <c r="A11" s="90" t="s">
        <v>1444</v>
      </c>
      <c r="B11" s="74" t="s">
        <v>1448</v>
      </c>
      <c r="C11" s="81">
        <v>9300</v>
      </c>
    </row>
    <row r="12" spans="1:8" ht="15.95" customHeight="1" x14ac:dyDescent="0.2">
      <c r="A12" s="90" t="s">
        <v>1444</v>
      </c>
      <c r="B12" s="74" t="s">
        <v>1449</v>
      </c>
      <c r="C12" s="81">
        <v>45369.1</v>
      </c>
    </row>
    <row r="13" spans="1:8" ht="15.95" customHeight="1" x14ac:dyDescent="0.2">
      <c r="A13" s="90" t="s">
        <v>1444</v>
      </c>
      <c r="B13" s="74" t="s">
        <v>1450</v>
      </c>
      <c r="C13" s="81">
        <v>557.17999999999995</v>
      </c>
    </row>
    <row r="14" spans="1:8" ht="15.95" customHeight="1" x14ac:dyDescent="0.2">
      <c r="A14" s="90" t="s">
        <v>1444</v>
      </c>
      <c r="B14" s="74" t="s">
        <v>1450</v>
      </c>
      <c r="C14" s="81">
        <v>557.17999999999995</v>
      </c>
    </row>
    <row r="15" spans="1:8" ht="15.95" customHeight="1" x14ac:dyDescent="0.2">
      <c r="A15" s="90" t="s">
        <v>1444</v>
      </c>
      <c r="B15" s="74" t="s">
        <v>1450</v>
      </c>
      <c r="C15" s="81">
        <v>557.17999999999995</v>
      </c>
    </row>
    <row r="16" spans="1:8" ht="15.95" customHeight="1" x14ac:dyDescent="0.2">
      <c r="A16" s="90" t="s">
        <v>1444</v>
      </c>
      <c r="B16" s="74" t="s">
        <v>1450</v>
      </c>
      <c r="C16" s="81">
        <v>557.17999999999995</v>
      </c>
    </row>
    <row r="17" spans="1:3" ht="15.95" customHeight="1" x14ac:dyDescent="0.2">
      <c r="A17" s="90" t="s">
        <v>1444</v>
      </c>
      <c r="B17" s="74" t="s">
        <v>1451</v>
      </c>
      <c r="C17" s="81">
        <v>175.95</v>
      </c>
    </row>
    <row r="18" spans="1:3" ht="15.95" customHeight="1" x14ac:dyDescent="0.2">
      <c r="A18" s="90" t="s">
        <v>1444</v>
      </c>
      <c r="B18" s="74" t="s">
        <v>1451</v>
      </c>
      <c r="C18" s="81">
        <v>175.95</v>
      </c>
    </row>
    <row r="19" spans="1:3" ht="15.95" customHeight="1" x14ac:dyDescent="0.2">
      <c r="A19" s="90" t="s">
        <v>1444</v>
      </c>
      <c r="B19" s="74" t="s">
        <v>1451</v>
      </c>
      <c r="C19" s="81">
        <v>175.95</v>
      </c>
    </row>
    <row r="20" spans="1:3" ht="15.95" customHeight="1" x14ac:dyDescent="0.2">
      <c r="A20" s="90" t="s">
        <v>1444</v>
      </c>
      <c r="B20" s="74" t="s">
        <v>1451</v>
      </c>
      <c r="C20" s="81">
        <v>175.95</v>
      </c>
    </row>
    <row r="21" spans="1:3" ht="15.95" customHeight="1" x14ac:dyDescent="0.2">
      <c r="A21" s="90" t="s">
        <v>1444</v>
      </c>
      <c r="B21" s="74" t="s">
        <v>1451</v>
      </c>
      <c r="C21" s="81">
        <v>175.95</v>
      </c>
    </row>
    <row r="22" spans="1:3" ht="15.95" customHeight="1" x14ac:dyDescent="0.2">
      <c r="A22" s="90" t="s">
        <v>1444</v>
      </c>
      <c r="B22" s="74" t="s">
        <v>1451</v>
      </c>
      <c r="C22" s="81">
        <v>175.95</v>
      </c>
    </row>
    <row r="23" spans="1:3" ht="15.95" customHeight="1" x14ac:dyDescent="0.2">
      <c r="A23" s="90" t="s">
        <v>1444</v>
      </c>
      <c r="B23" s="74" t="s">
        <v>1452</v>
      </c>
      <c r="C23" s="81">
        <v>9513.51</v>
      </c>
    </row>
    <row r="24" spans="1:3" ht="15.95" customHeight="1" x14ac:dyDescent="0.2">
      <c r="A24" s="90" t="s">
        <v>1444</v>
      </c>
      <c r="B24" s="74" t="s">
        <v>1453</v>
      </c>
      <c r="C24" s="81">
        <v>2629.48</v>
      </c>
    </row>
    <row r="25" spans="1:3" ht="15.95" customHeight="1" x14ac:dyDescent="0.2">
      <c r="A25" s="90" t="s">
        <v>1444</v>
      </c>
      <c r="B25" s="74" t="s">
        <v>1453</v>
      </c>
      <c r="C25" s="81">
        <v>2629.48</v>
      </c>
    </row>
    <row r="26" spans="1:3" ht="15.95" customHeight="1" x14ac:dyDescent="0.2">
      <c r="A26" s="90" t="s">
        <v>1444</v>
      </c>
      <c r="B26" s="74" t="s">
        <v>1454</v>
      </c>
      <c r="C26" s="81">
        <v>2629.48</v>
      </c>
    </row>
    <row r="27" spans="1:3" ht="15.95" customHeight="1" x14ac:dyDescent="0.2">
      <c r="A27" s="90" t="s">
        <v>1444</v>
      </c>
      <c r="B27" s="74" t="s">
        <v>1454</v>
      </c>
      <c r="C27" s="81">
        <v>2629.48</v>
      </c>
    </row>
    <row r="28" spans="1:3" ht="15.95" customHeight="1" x14ac:dyDescent="0.2">
      <c r="A28" s="90" t="s">
        <v>1444</v>
      </c>
      <c r="B28" s="74" t="s">
        <v>1455</v>
      </c>
      <c r="C28" s="81">
        <v>2629.48</v>
      </c>
    </row>
    <row r="29" spans="1:3" ht="15.95" customHeight="1" x14ac:dyDescent="0.2">
      <c r="A29" s="90" t="s">
        <v>1444</v>
      </c>
      <c r="B29" s="74" t="s">
        <v>1455</v>
      </c>
      <c r="C29" s="81">
        <v>2629.48</v>
      </c>
    </row>
    <row r="30" spans="1:3" ht="15.95" customHeight="1" x14ac:dyDescent="0.2">
      <c r="A30" s="90" t="s">
        <v>1444</v>
      </c>
      <c r="B30" s="74" t="s">
        <v>1455</v>
      </c>
      <c r="C30" s="81">
        <v>2629.48</v>
      </c>
    </row>
    <row r="31" spans="1:3" ht="15.95" customHeight="1" x14ac:dyDescent="0.2">
      <c r="A31" s="90" t="s">
        <v>1444</v>
      </c>
      <c r="B31" s="74" t="s">
        <v>1456</v>
      </c>
      <c r="C31" s="81">
        <v>24951.599999999999</v>
      </c>
    </row>
    <row r="32" spans="1:3" ht="25.5" x14ac:dyDescent="0.2">
      <c r="A32" s="90" t="s">
        <v>1444</v>
      </c>
      <c r="B32" s="74" t="s">
        <v>1457</v>
      </c>
      <c r="C32" s="81">
        <v>4884</v>
      </c>
    </row>
    <row r="33" spans="1:3" ht="15.95" customHeight="1" x14ac:dyDescent="0.2">
      <c r="A33" s="90" t="s">
        <v>1444</v>
      </c>
      <c r="B33" s="74" t="s">
        <v>1458</v>
      </c>
      <c r="C33" s="81">
        <f>18923*1.15</f>
        <v>21761.449999999997</v>
      </c>
    </row>
    <row r="34" spans="1:3" ht="15.95" customHeight="1" x14ac:dyDescent="0.2">
      <c r="A34" s="90" t="s">
        <v>1444</v>
      </c>
      <c r="B34" s="74" t="s">
        <v>1459</v>
      </c>
      <c r="C34" s="81">
        <f>16104*1.15</f>
        <v>18519.599999999999</v>
      </c>
    </row>
    <row r="35" spans="1:3" ht="15.95" customHeight="1" x14ac:dyDescent="0.2">
      <c r="A35" s="90" t="s">
        <v>1444</v>
      </c>
      <c r="B35" s="74" t="s">
        <v>1459</v>
      </c>
      <c r="C35" s="81">
        <f>16104*1.15</f>
        <v>18519.599999999999</v>
      </c>
    </row>
    <row r="36" spans="1:3" ht="25.5" x14ac:dyDescent="0.2">
      <c r="A36" s="90" t="s">
        <v>1444</v>
      </c>
      <c r="B36" s="74" t="s">
        <v>1460</v>
      </c>
      <c r="C36" s="81">
        <f>20032*1.15</f>
        <v>23036.799999999999</v>
      </c>
    </row>
    <row r="37" spans="1:3" ht="59.25" customHeight="1" x14ac:dyDescent="0.2">
      <c r="A37" s="90" t="s">
        <v>1444</v>
      </c>
      <c r="B37" s="88" t="s">
        <v>1461</v>
      </c>
      <c r="C37" s="81">
        <f>7054*1.15</f>
        <v>8112.0999999999995</v>
      </c>
    </row>
    <row r="38" spans="1:3" ht="25.5" x14ac:dyDescent="0.2">
      <c r="A38" s="90" t="s">
        <v>1444</v>
      </c>
      <c r="B38" s="74" t="s">
        <v>1462</v>
      </c>
      <c r="C38" s="81">
        <f>98.2*1.15</f>
        <v>112.92999999999999</v>
      </c>
    </row>
    <row r="39" spans="1:3" ht="25.5" x14ac:dyDescent="0.2">
      <c r="A39" s="90" t="s">
        <v>1444</v>
      </c>
      <c r="B39" s="74" t="s">
        <v>1462</v>
      </c>
      <c r="C39" s="81">
        <f>98.2*1.15</f>
        <v>112.92999999999999</v>
      </c>
    </row>
    <row r="40" spans="1:3" ht="25.5" x14ac:dyDescent="0.2">
      <c r="A40" s="90" t="s">
        <v>1444</v>
      </c>
      <c r="B40" s="74" t="s">
        <v>1462</v>
      </c>
      <c r="C40" s="81">
        <f>98.2*1.15</f>
        <v>112.92999999999999</v>
      </c>
    </row>
    <row r="41" spans="1:3" ht="25.5" x14ac:dyDescent="0.2">
      <c r="A41" s="90" t="s">
        <v>1444</v>
      </c>
      <c r="B41" s="74" t="s">
        <v>1462</v>
      </c>
      <c r="C41" s="81">
        <f>98.2*1.15</f>
        <v>112.92999999999999</v>
      </c>
    </row>
    <row r="42" spans="1:3" ht="25.5" x14ac:dyDescent="0.2">
      <c r="A42" s="90" t="s">
        <v>1444</v>
      </c>
      <c r="B42" s="74" t="s">
        <v>1462</v>
      </c>
      <c r="C42" s="81">
        <f>98.2*1.15</f>
        <v>112.92999999999999</v>
      </c>
    </row>
    <row r="43" spans="1:3" ht="15.95" customHeight="1" x14ac:dyDescent="0.2">
      <c r="A43" s="90" t="s">
        <v>1444</v>
      </c>
      <c r="B43" s="74" t="s">
        <v>1463</v>
      </c>
      <c r="C43" s="81">
        <f>170*1.15</f>
        <v>195.49999999999997</v>
      </c>
    </row>
    <row r="44" spans="1:3" ht="15.95" customHeight="1" x14ac:dyDescent="0.2">
      <c r="A44" s="90" t="s">
        <v>1444</v>
      </c>
      <c r="B44" s="74" t="s">
        <v>1463</v>
      </c>
      <c r="C44" s="81">
        <f>170*1.15</f>
        <v>195.49999999999997</v>
      </c>
    </row>
    <row r="45" spans="1:3" ht="15.95" customHeight="1" x14ac:dyDescent="0.2">
      <c r="A45" s="90" t="s">
        <v>1444</v>
      </c>
      <c r="B45" s="74" t="s">
        <v>1463</v>
      </c>
      <c r="C45" s="81">
        <f>170*1.15</f>
        <v>195.49999999999997</v>
      </c>
    </row>
    <row r="46" spans="1:3" ht="15.95" customHeight="1" x14ac:dyDescent="0.2">
      <c r="A46" s="90" t="s">
        <v>1444</v>
      </c>
      <c r="B46" s="74" t="s">
        <v>1463</v>
      </c>
      <c r="C46" s="81">
        <f>170*1.15</f>
        <v>195.49999999999997</v>
      </c>
    </row>
    <row r="47" spans="1:3" ht="15.95" customHeight="1" x14ac:dyDescent="0.2">
      <c r="A47" s="90" t="s">
        <v>1444</v>
      </c>
      <c r="B47" s="74" t="s">
        <v>1464</v>
      </c>
      <c r="C47" s="81">
        <v>16330</v>
      </c>
    </row>
    <row r="48" spans="1:3" ht="25.5" x14ac:dyDescent="0.2">
      <c r="A48" s="90" t="s">
        <v>1444</v>
      </c>
      <c r="B48" s="74" t="s">
        <v>1465</v>
      </c>
      <c r="C48" s="81">
        <f>1275*1.15</f>
        <v>1466.25</v>
      </c>
    </row>
    <row r="49" spans="1:3" ht="15.95" customHeight="1" x14ac:dyDescent="0.2">
      <c r="A49" s="90" t="s">
        <v>1444</v>
      </c>
      <c r="B49" s="74" t="s">
        <v>1466</v>
      </c>
      <c r="C49" s="81">
        <f>23420*1.15</f>
        <v>26932.999999999996</v>
      </c>
    </row>
    <row r="50" spans="1:3" ht="15.95" customHeight="1" x14ac:dyDescent="0.2">
      <c r="A50" s="90" t="s">
        <v>1444</v>
      </c>
      <c r="B50" s="74" t="s">
        <v>1467</v>
      </c>
      <c r="C50" s="81">
        <f>46608*1.15</f>
        <v>53599.199999999997</v>
      </c>
    </row>
    <row r="51" spans="1:3" ht="42" customHeight="1" x14ac:dyDescent="0.2">
      <c r="A51" s="90" t="s">
        <v>1444</v>
      </c>
      <c r="B51" s="74" t="s">
        <v>1468</v>
      </c>
      <c r="C51" s="81">
        <v>6900</v>
      </c>
    </row>
    <row r="52" spans="1:3" ht="56.25" customHeight="1" x14ac:dyDescent="0.2">
      <c r="A52" s="90" t="s">
        <v>1444</v>
      </c>
      <c r="B52" s="74" t="s">
        <v>1469</v>
      </c>
      <c r="C52" s="81">
        <v>6200</v>
      </c>
    </row>
    <row r="53" spans="1:3" ht="15.95" customHeight="1" x14ac:dyDescent="0.2">
      <c r="A53" s="90" t="s">
        <v>1444</v>
      </c>
      <c r="B53" s="74" t="s">
        <v>1470</v>
      </c>
      <c r="C53" s="81">
        <v>99500</v>
      </c>
    </row>
    <row r="54" spans="1:3" ht="15.95" customHeight="1" x14ac:dyDescent="0.2">
      <c r="A54" s="90" t="s">
        <v>1444</v>
      </c>
      <c r="B54" s="74" t="s">
        <v>1471</v>
      </c>
      <c r="C54" s="81"/>
    </row>
    <row r="55" spans="1:3" ht="15.95" customHeight="1" x14ac:dyDescent="0.2">
      <c r="A55" s="90" t="s">
        <v>1444</v>
      </c>
      <c r="B55" s="74" t="s">
        <v>1472</v>
      </c>
      <c r="C55" s="81"/>
    </row>
    <row r="56" spans="1:3" ht="15.95" customHeight="1" x14ac:dyDescent="0.2">
      <c r="A56" s="90" t="s">
        <v>1444</v>
      </c>
      <c r="B56" s="74" t="s">
        <v>1473</v>
      </c>
      <c r="C56" s="81"/>
    </row>
    <row r="57" spans="1:3" ht="15.95" customHeight="1" x14ac:dyDescent="0.2">
      <c r="A57" s="90" t="s">
        <v>1444</v>
      </c>
      <c r="B57" s="74" t="s">
        <v>1474</v>
      </c>
      <c r="C57" s="81">
        <v>9050</v>
      </c>
    </row>
    <row r="58" spans="1:3" ht="15.95" customHeight="1" x14ac:dyDescent="0.2">
      <c r="A58" s="90" t="s">
        <v>1444</v>
      </c>
      <c r="B58" s="74" t="s">
        <v>1475</v>
      </c>
      <c r="C58" s="81">
        <v>8600</v>
      </c>
    </row>
    <row r="59" spans="1:3" ht="30" customHeight="1" x14ac:dyDescent="0.2">
      <c r="A59" s="90" t="s">
        <v>1444</v>
      </c>
      <c r="B59" s="74" t="s">
        <v>1476</v>
      </c>
      <c r="C59" s="81">
        <v>11700</v>
      </c>
    </row>
    <row r="60" spans="1:3" ht="25.5" x14ac:dyDescent="0.2">
      <c r="A60" s="90" t="s">
        <v>1444</v>
      </c>
      <c r="B60" s="74" t="s">
        <v>1477</v>
      </c>
      <c r="C60" s="81">
        <v>6650</v>
      </c>
    </row>
    <row r="61" spans="1:3" ht="13.5" thickBot="1" x14ac:dyDescent="0.25">
      <c r="A61" s="63"/>
      <c r="B61" s="64"/>
      <c r="C61" s="64"/>
    </row>
    <row r="62" spans="1:3" ht="17.25" customHeight="1" x14ac:dyDescent="0.2">
      <c r="A62" s="65"/>
      <c r="B62" s="65"/>
      <c r="C62" s="65"/>
    </row>
    <row r="63" spans="1:3" ht="17.25" customHeight="1" x14ac:dyDescent="0.2">
      <c r="A63" s="65"/>
      <c r="B63" s="65"/>
      <c r="C63" s="65"/>
    </row>
    <row r="64" spans="1:3" ht="17.25" customHeight="1" x14ac:dyDescent="0.2">
      <c r="A64" s="65"/>
      <c r="B64" s="65"/>
      <c r="C64" s="65"/>
    </row>
    <row r="65" spans="1:3" ht="17.25" customHeight="1" x14ac:dyDescent="0.2">
      <c r="A65" s="65"/>
      <c r="B65" s="65"/>
      <c r="C65" s="65"/>
    </row>
    <row r="68" spans="1:3" x14ac:dyDescent="0.2">
      <c r="B68" s="54"/>
      <c r="C68" s="54"/>
    </row>
    <row r="69" spans="1:3" x14ac:dyDescent="0.2">
      <c r="B69" s="54"/>
      <c r="C69" s="54"/>
    </row>
    <row r="70" spans="1:3" x14ac:dyDescent="0.2">
      <c r="B70" s="54"/>
      <c r="C70" s="54"/>
    </row>
    <row r="71" spans="1:3" x14ac:dyDescent="0.2">
      <c r="A71" s="66"/>
    </row>
    <row r="72" spans="1:3" x14ac:dyDescent="0.2">
      <c r="A72" s="66"/>
    </row>
    <row r="73" spans="1:3" x14ac:dyDescent="0.2">
      <c r="A73" s="66"/>
    </row>
    <row r="74" spans="1:3" x14ac:dyDescent="0.2">
      <c r="A74" s="66"/>
    </row>
    <row r="75" spans="1:3" x14ac:dyDescent="0.2">
      <c r="A75" s="66"/>
    </row>
    <row r="76" spans="1:3" x14ac:dyDescent="0.2">
      <c r="A76" s="66"/>
    </row>
    <row r="77" spans="1:3" x14ac:dyDescent="0.2">
      <c r="A77" s="66"/>
    </row>
    <row r="78" spans="1:3" x14ac:dyDescent="0.2">
      <c r="A78" s="66"/>
    </row>
    <row r="79" spans="1:3" x14ac:dyDescent="0.2">
      <c r="A79" s="66"/>
    </row>
    <row r="80" spans="1:3" x14ac:dyDescent="0.2">
      <c r="A80" s="66"/>
    </row>
    <row r="81" spans="1:3" x14ac:dyDescent="0.2">
      <c r="A81" s="66"/>
    </row>
    <row r="82" spans="1:3" x14ac:dyDescent="0.2">
      <c r="A82" s="66"/>
    </row>
    <row r="83" spans="1:3" x14ac:dyDescent="0.2">
      <c r="A83" s="66"/>
    </row>
    <row r="84" spans="1:3" x14ac:dyDescent="0.2">
      <c r="A84" s="66"/>
    </row>
    <row r="85" spans="1:3" x14ac:dyDescent="0.2">
      <c r="A85" s="66"/>
    </row>
    <row r="86" spans="1:3" x14ac:dyDescent="0.2">
      <c r="A86" s="66"/>
    </row>
    <row r="87" spans="1:3" x14ac:dyDescent="0.2">
      <c r="A87" s="66"/>
    </row>
    <row r="88" spans="1:3" x14ac:dyDescent="0.2">
      <c r="A88" s="66"/>
    </row>
    <row r="89" spans="1:3" x14ac:dyDescent="0.2">
      <c r="A89" s="66"/>
    </row>
    <row r="90" spans="1:3" x14ac:dyDescent="0.2">
      <c r="A90" s="66"/>
    </row>
    <row r="91" spans="1:3" x14ac:dyDescent="0.2">
      <c r="A91" s="66"/>
      <c r="B91" s="67"/>
    </row>
    <row r="92" spans="1:3" ht="12.75" customHeight="1" x14ac:dyDescent="0.2">
      <c r="A92" s="66"/>
      <c r="B92" s="71"/>
      <c r="C92" s="71"/>
    </row>
    <row r="93" spans="1:3" ht="12.75" customHeight="1" x14ac:dyDescent="0.2">
      <c r="B93" s="71"/>
      <c r="C93" s="71"/>
    </row>
    <row r="104" s="68" customFormat="1" ht="11.25" x14ac:dyDescent="0.2"/>
  </sheetData>
  <printOptions horizontalCentered="1"/>
  <pageMargins left="0.35433070866141736" right="3.937007874015748E-2" top="0.51181102362204722" bottom="0.62992125984251968" header="0" footer="0"/>
  <pageSetup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53"/>
  <sheetViews>
    <sheetView showGridLines="0" zoomScaleNormal="100" workbookViewId="0">
      <pane ySplit="6" topLeftCell="A83" activePane="bottomLeft" state="frozen"/>
      <selection pane="bottomLeft" activeCell="B119" sqref="B119"/>
    </sheetView>
  </sheetViews>
  <sheetFormatPr baseColWidth="10" defaultRowHeight="12.75" x14ac:dyDescent="0.2"/>
  <cols>
    <col min="1" max="1" width="31.140625" style="50" customWidth="1"/>
    <col min="2" max="2" width="50.85546875" style="50" customWidth="1"/>
    <col min="3" max="3" width="30.7109375" style="50" customWidth="1"/>
    <col min="4" max="16384" width="11.42578125" style="50"/>
  </cols>
  <sheetData>
    <row r="1" spans="1:8" ht="15.75" customHeight="1" x14ac:dyDescent="0.25">
      <c r="A1" s="55"/>
      <c r="B1" s="55"/>
      <c r="C1" s="72" t="s">
        <v>150</v>
      </c>
      <c r="D1" s="53"/>
      <c r="E1" s="53"/>
      <c r="F1" s="53"/>
      <c r="G1" s="53"/>
      <c r="H1" s="53"/>
    </row>
    <row r="2" spans="1:8" ht="23.25" customHeight="1" x14ac:dyDescent="0.25">
      <c r="A2" s="51" t="s">
        <v>314</v>
      </c>
      <c r="B2" s="52"/>
      <c r="C2" s="52"/>
      <c r="D2" s="53"/>
      <c r="E2" s="53"/>
      <c r="F2" s="53"/>
      <c r="G2" s="53"/>
      <c r="H2" s="53"/>
    </row>
    <row r="3" spans="1:8" ht="15" x14ac:dyDescent="0.25">
      <c r="A3" s="51" t="s">
        <v>152</v>
      </c>
      <c r="B3" s="51"/>
      <c r="C3" s="51"/>
    </row>
    <row r="4" spans="1:8" ht="12.75" customHeight="1" x14ac:dyDescent="0.25">
      <c r="A4" s="56"/>
      <c r="B4" s="56"/>
      <c r="C4" s="56"/>
    </row>
    <row r="5" spans="1:8" ht="13.5" thickBot="1" x14ac:dyDescent="0.25">
      <c r="A5" s="57" t="s">
        <v>20</v>
      </c>
      <c r="B5" s="57" t="s">
        <v>21</v>
      </c>
      <c r="C5" s="57" t="s">
        <v>16</v>
      </c>
    </row>
    <row r="6" spans="1:8" ht="31.5" customHeight="1" thickBot="1" x14ac:dyDescent="0.25">
      <c r="A6" s="69" t="s">
        <v>148</v>
      </c>
      <c r="B6" s="70" t="s">
        <v>132</v>
      </c>
      <c r="C6" s="70" t="s">
        <v>149</v>
      </c>
    </row>
    <row r="7" spans="1:8" ht="25.5" x14ac:dyDescent="0.2">
      <c r="A7" s="90" t="s">
        <v>1478</v>
      </c>
      <c r="B7" s="74" t="s">
        <v>1479</v>
      </c>
      <c r="C7" s="81">
        <f>12469.67*1.15</f>
        <v>14340.120499999999</v>
      </c>
    </row>
    <row r="8" spans="1:8" x14ac:dyDescent="0.2">
      <c r="A8" s="90" t="s">
        <v>1478</v>
      </c>
      <c r="B8" s="74" t="s">
        <v>1480</v>
      </c>
      <c r="C8" s="81">
        <f>3913.04*1.15</f>
        <v>4499.9959999999992</v>
      </c>
    </row>
    <row r="9" spans="1:8" ht="15" customHeight="1" x14ac:dyDescent="0.2">
      <c r="A9" s="90" t="s">
        <v>1478</v>
      </c>
      <c r="B9" s="74" t="s">
        <v>1481</v>
      </c>
      <c r="C9" s="81">
        <v>86.65</v>
      </c>
    </row>
    <row r="10" spans="1:8" ht="15" customHeight="1" x14ac:dyDescent="0.2">
      <c r="A10" s="90" t="s">
        <v>1478</v>
      </c>
      <c r="B10" s="74" t="s">
        <v>1482</v>
      </c>
      <c r="C10" s="81">
        <v>694.78</v>
      </c>
    </row>
    <row r="11" spans="1:8" ht="15" customHeight="1" x14ac:dyDescent="0.2">
      <c r="A11" s="90" t="s">
        <v>1478</v>
      </c>
      <c r="B11" s="74" t="s">
        <v>1483</v>
      </c>
      <c r="C11" s="81">
        <v>10433.91</v>
      </c>
    </row>
    <row r="12" spans="1:8" x14ac:dyDescent="0.2">
      <c r="A12" s="90" t="s">
        <v>1478</v>
      </c>
      <c r="B12" s="74" t="s">
        <v>1484</v>
      </c>
      <c r="C12" s="81">
        <v>1381.74</v>
      </c>
    </row>
    <row r="13" spans="1:8" x14ac:dyDescent="0.2">
      <c r="A13" s="90" t="s">
        <v>1478</v>
      </c>
      <c r="B13" s="74" t="s">
        <v>1198</v>
      </c>
      <c r="C13" s="81">
        <v>1783.48</v>
      </c>
    </row>
    <row r="14" spans="1:8" ht="14.1" customHeight="1" x14ac:dyDescent="0.2">
      <c r="A14" s="90" t="s">
        <v>1478</v>
      </c>
      <c r="B14" s="74" t="s">
        <v>1485</v>
      </c>
      <c r="C14" s="81">
        <v>6000</v>
      </c>
    </row>
    <row r="15" spans="1:8" ht="14.1" customHeight="1" x14ac:dyDescent="0.2">
      <c r="A15" s="90" t="s">
        <v>1478</v>
      </c>
      <c r="B15" s="74" t="s">
        <v>1485</v>
      </c>
      <c r="C15" s="81">
        <v>6000</v>
      </c>
    </row>
    <row r="16" spans="1:8" ht="14.1" customHeight="1" x14ac:dyDescent="0.2">
      <c r="A16" s="90" t="s">
        <v>1478</v>
      </c>
      <c r="B16" s="74" t="s">
        <v>1485</v>
      </c>
      <c r="C16" s="81">
        <v>6000</v>
      </c>
    </row>
    <row r="17" spans="1:3" ht="25.5" x14ac:dyDescent="0.2">
      <c r="A17" s="90" t="s">
        <v>1478</v>
      </c>
      <c r="B17" s="74" t="s">
        <v>1486</v>
      </c>
      <c r="C17" s="81">
        <v>1506000</v>
      </c>
    </row>
    <row r="18" spans="1:3" ht="25.5" x14ac:dyDescent="0.2">
      <c r="A18" s="90" t="s">
        <v>1478</v>
      </c>
      <c r="B18" s="74" t="s">
        <v>1487</v>
      </c>
      <c r="C18" s="81">
        <f t="shared" ref="C18:C47" si="0">332.76*1.16</f>
        <v>386.00159999999994</v>
      </c>
    </row>
    <row r="19" spans="1:3" ht="25.5" x14ac:dyDescent="0.2">
      <c r="A19" s="90" t="s">
        <v>1478</v>
      </c>
      <c r="B19" s="74" t="s">
        <v>1488</v>
      </c>
      <c r="C19" s="81">
        <f t="shared" si="0"/>
        <v>386.00159999999994</v>
      </c>
    </row>
    <row r="20" spans="1:3" ht="25.5" x14ac:dyDescent="0.2">
      <c r="A20" s="90" t="s">
        <v>1478</v>
      </c>
      <c r="B20" s="74" t="s">
        <v>1489</v>
      </c>
      <c r="C20" s="81">
        <f t="shared" si="0"/>
        <v>386.00159999999994</v>
      </c>
    </row>
    <row r="21" spans="1:3" ht="25.5" x14ac:dyDescent="0.2">
      <c r="A21" s="90" t="s">
        <v>1478</v>
      </c>
      <c r="B21" s="74" t="s">
        <v>1490</v>
      </c>
      <c r="C21" s="81">
        <f t="shared" si="0"/>
        <v>386.00159999999994</v>
      </c>
    </row>
    <row r="22" spans="1:3" ht="25.5" x14ac:dyDescent="0.2">
      <c r="A22" s="90" t="s">
        <v>1478</v>
      </c>
      <c r="B22" s="74" t="s">
        <v>1491</v>
      </c>
      <c r="C22" s="81">
        <f t="shared" si="0"/>
        <v>386.00159999999994</v>
      </c>
    </row>
    <row r="23" spans="1:3" ht="25.5" x14ac:dyDescent="0.2">
      <c r="A23" s="90" t="s">
        <v>1478</v>
      </c>
      <c r="B23" s="74" t="s">
        <v>1491</v>
      </c>
      <c r="C23" s="81">
        <f t="shared" si="0"/>
        <v>386.00159999999994</v>
      </c>
    </row>
    <row r="24" spans="1:3" ht="25.5" x14ac:dyDescent="0.2">
      <c r="A24" s="90" t="s">
        <v>1478</v>
      </c>
      <c r="B24" s="74" t="s">
        <v>1491</v>
      </c>
      <c r="C24" s="81">
        <f t="shared" si="0"/>
        <v>386.00159999999994</v>
      </c>
    </row>
    <row r="25" spans="1:3" ht="25.5" x14ac:dyDescent="0.2">
      <c r="A25" s="90" t="s">
        <v>1478</v>
      </c>
      <c r="B25" s="74" t="s">
        <v>1491</v>
      </c>
      <c r="C25" s="81">
        <f t="shared" si="0"/>
        <v>386.00159999999994</v>
      </c>
    </row>
    <row r="26" spans="1:3" ht="25.5" x14ac:dyDescent="0.2">
      <c r="A26" s="90" t="s">
        <v>1478</v>
      </c>
      <c r="B26" s="74" t="s">
        <v>1491</v>
      </c>
      <c r="C26" s="81">
        <f t="shared" si="0"/>
        <v>386.00159999999994</v>
      </c>
    </row>
    <row r="27" spans="1:3" ht="25.5" x14ac:dyDescent="0.2">
      <c r="A27" s="90" t="s">
        <v>1478</v>
      </c>
      <c r="B27" s="74" t="s">
        <v>1491</v>
      </c>
      <c r="C27" s="81">
        <f t="shared" si="0"/>
        <v>386.00159999999994</v>
      </c>
    </row>
    <row r="28" spans="1:3" ht="25.5" x14ac:dyDescent="0.2">
      <c r="A28" s="90" t="s">
        <v>1478</v>
      </c>
      <c r="B28" s="74" t="s">
        <v>1491</v>
      </c>
      <c r="C28" s="81">
        <f t="shared" si="0"/>
        <v>386.00159999999994</v>
      </c>
    </row>
    <row r="29" spans="1:3" ht="25.5" x14ac:dyDescent="0.2">
      <c r="A29" s="90" t="s">
        <v>1478</v>
      </c>
      <c r="B29" s="74" t="s">
        <v>1491</v>
      </c>
      <c r="C29" s="81">
        <f t="shared" si="0"/>
        <v>386.00159999999994</v>
      </c>
    </row>
    <row r="30" spans="1:3" ht="25.5" x14ac:dyDescent="0.2">
      <c r="A30" s="90" t="s">
        <v>1478</v>
      </c>
      <c r="B30" s="74" t="s">
        <v>1491</v>
      </c>
      <c r="C30" s="81">
        <f t="shared" si="0"/>
        <v>386.00159999999994</v>
      </c>
    </row>
    <row r="31" spans="1:3" ht="25.5" x14ac:dyDescent="0.2">
      <c r="A31" s="90" t="s">
        <v>1478</v>
      </c>
      <c r="B31" s="74" t="s">
        <v>1491</v>
      </c>
      <c r="C31" s="81">
        <f t="shared" si="0"/>
        <v>386.00159999999994</v>
      </c>
    </row>
    <row r="32" spans="1:3" ht="25.5" x14ac:dyDescent="0.2">
      <c r="A32" s="90" t="s">
        <v>1478</v>
      </c>
      <c r="B32" s="74" t="s">
        <v>1491</v>
      </c>
      <c r="C32" s="81">
        <f t="shared" si="0"/>
        <v>386.00159999999994</v>
      </c>
    </row>
    <row r="33" spans="1:3" ht="25.5" x14ac:dyDescent="0.2">
      <c r="A33" s="90" t="s">
        <v>1478</v>
      </c>
      <c r="B33" s="74" t="s">
        <v>1491</v>
      </c>
      <c r="C33" s="81">
        <f t="shared" si="0"/>
        <v>386.00159999999994</v>
      </c>
    </row>
    <row r="34" spans="1:3" ht="25.5" x14ac:dyDescent="0.2">
      <c r="A34" s="90" t="s">
        <v>1478</v>
      </c>
      <c r="B34" s="74" t="s">
        <v>1491</v>
      </c>
      <c r="C34" s="81">
        <f t="shared" si="0"/>
        <v>386.00159999999994</v>
      </c>
    </row>
    <row r="35" spans="1:3" ht="25.5" x14ac:dyDescent="0.2">
      <c r="A35" s="90" t="s">
        <v>1478</v>
      </c>
      <c r="B35" s="74" t="s">
        <v>1491</v>
      </c>
      <c r="C35" s="81">
        <f t="shared" si="0"/>
        <v>386.00159999999994</v>
      </c>
    </row>
    <row r="36" spans="1:3" ht="25.5" x14ac:dyDescent="0.2">
      <c r="A36" s="90" t="s">
        <v>1478</v>
      </c>
      <c r="B36" s="74" t="s">
        <v>1491</v>
      </c>
      <c r="C36" s="81">
        <f t="shared" si="0"/>
        <v>386.00159999999994</v>
      </c>
    </row>
    <row r="37" spans="1:3" ht="25.5" x14ac:dyDescent="0.2">
      <c r="A37" s="90" t="s">
        <v>1478</v>
      </c>
      <c r="B37" s="74" t="s">
        <v>1491</v>
      </c>
      <c r="C37" s="81">
        <f t="shared" si="0"/>
        <v>386.00159999999994</v>
      </c>
    </row>
    <row r="38" spans="1:3" ht="25.5" x14ac:dyDescent="0.2">
      <c r="A38" s="90" t="s">
        <v>1478</v>
      </c>
      <c r="B38" s="74" t="s">
        <v>1491</v>
      </c>
      <c r="C38" s="81">
        <f t="shared" si="0"/>
        <v>386.00159999999994</v>
      </c>
    </row>
    <row r="39" spans="1:3" ht="25.5" x14ac:dyDescent="0.2">
      <c r="A39" s="90" t="s">
        <v>1478</v>
      </c>
      <c r="B39" s="74" t="s">
        <v>1491</v>
      </c>
      <c r="C39" s="81">
        <f t="shared" si="0"/>
        <v>386.00159999999994</v>
      </c>
    </row>
    <row r="40" spans="1:3" ht="25.5" x14ac:dyDescent="0.2">
      <c r="A40" s="90" t="s">
        <v>1478</v>
      </c>
      <c r="B40" s="74" t="s">
        <v>1491</v>
      </c>
      <c r="C40" s="81">
        <f t="shared" si="0"/>
        <v>386.00159999999994</v>
      </c>
    </row>
    <row r="41" spans="1:3" ht="25.5" x14ac:dyDescent="0.2">
      <c r="A41" s="90" t="s">
        <v>1478</v>
      </c>
      <c r="B41" s="74" t="s">
        <v>1491</v>
      </c>
      <c r="C41" s="81">
        <f t="shared" si="0"/>
        <v>386.00159999999994</v>
      </c>
    </row>
    <row r="42" spans="1:3" ht="25.5" x14ac:dyDescent="0.2">
      <c r="A42" s="90" t="s">
        <v>1478</v>
      </c>
      <c r="B42" s="74" t="s">
        <v>1491</v>
      </c>
      <c r="C42" s="81">
        <f t="shared" si="0"/>
        <v>386.00159999999994</v>
      </c>
    </row>
    <row r="43" spans="1:3" ht="25.5" x14ac:dyDescent="0.2">
      <c r="A43" s="90" t="s">
        <v>1478</v>
      </c>
      <c r="B43" s="74" t="s">
        <v>1491</v>
      </c>
      <c r="C43" s="81">
        <f t="shared" si="0"/>
        <v>386.00159999999994</v>
      </c>
    </row>
    <row r="44" spans="1:3" ht="25.5" x14ac:dyDescent="0.2">
      <c r="A44" s="90" t="s">
        <v>1478</v>
      </c>
      <c r="B44" s="74" t="s">
        <v>1491</v>
      </c>
      <c r="C44" s="81">
        <f t="shared" si="0"/>
        <v>386.00159999999994</v>
      </c>
    </row>
    <row r="45" spans="1:3" ht="25.5" x14ac:dyDescent="0.2">
      <c r="A45" s="90" t="s">
        <v>1478</v>
      </c>
      <c r="B45" s="74" t="s">
        <v>1491</v>
      </c>
      <c r="C45" s="81">
        <f t="shared" si="0"/>
        <v>386.00159999999994</v>
      </c>
    </row>
    <row r="46" spans="1:3" ht="25.5" x14ac:dyDescent="0.2">
      <c r="A46" s="90" t="s">
        <v>1478</v>
      </c>
      <c r="B46" s="74" t="s">
        <v>1491</v>
      </c>
      <c r="C46" s="81">
        <f t="shared" si="0"/>
        <v>386.00159999999994</v>
      </c>
    </row>
    <row r="47" spans="1:3" ht="25.5" x14ac:dyDescent="0.2">
      <c r="A47" s="90" t="s">
        <v>1478</v>
      </c>
      <c r="B47" s="74" t="s">
        <v>1491</v>
      </c>
      <c r="C47" s="81">
        <f t="shared" si="0"/>
        <v>386.00159999999994</v>
      </c>
    </row>
    <row r="48" spans="1:3" ht="140.25" x14ac:dyDescent="0.2">
      <c r="A48" s="90" t="s">
        <v>1478</v>
      </c>
      <c r="B48" s="74" t="s">
        <v>1492</v>
      </c>
      <c r="C48" s="81">
        <v>254040</v>
      </c>
    </row>
    <row r="49" spans="1:3" ht="25.5" x14ac:dyDescent="0.2">
      <c r="A49" s="90" t="s">
        <v>1478</v>
      </c>
      <c r="B49" s="74" t="s">
        <v>1493</v>
      </c>
      <c r="C49" s="81">
        <f>14900*1.16</f>
        <v>17284</v>
      </c>
    </row>
    <row r="50" spans="1:3" ht="25.5" x14ac:dyDescent="0.2">
      <c r="A50" s="90" t="s">
        <v>1478</v>
      </c>
      <c r="B50" s="74" t="s">
        <v>1493</v>
      </c>
      <c r="C50" s="81">
        <f>14900*1.16</f>
        <v>17284</v>
      </c>
    </row>
    <row r="51" spans="1:3" ht="25.5" x14ac:dyDescent="0.2">
      <c r="A51" s="90" t="s">
        <v>1478</v>
      </c>
      <c r="B51" s="74" t="s">
        <v>1493</v>
      </c>
      <c r="C51" s="81">
        <f>14900*1.16</f>
        <v>17284</v>
      </c>
    </row>
    <row r="52" spans="1:3" ht="25.5" x14ac:dyDescent="0.2">
      <c r="A52" s="90" t="s">
        <v>1478</v>
      </c>
      <c r="B52" s="74" t="s">
        <v>1493</v>
      </c>
      <c r="C52" s="81">
        <f t="shared" ref="C52:C65" si="1">14900*1.16</f>
        <v>17284</v>
      </c>
    </row>
    <row r="53" spans="1:3" ht="25.5" x14ac:dyDescent="0.2">
      <c r="A53" s="90" t="s">
        <v>1478</v>
      </c>
      <c r="B53" s="74" t="s">
        <v>1493</v>
      </c>
      <c r="C53" s="81">
        <f t="shared" si="1"/>
        <v>17284</v>
      </c>
    </row>
    <row r="54" spans="1:3" ht="25.5" x14ac:dyDescent="0.2">
      <c r="A54" s="90" t="s">
        <v>1478</v>
      </c>
      <c r="B54" s="74" t="s">
        <v>1493</v>
      </c>
      <c r="C54" s="81">
        <f t="shared" si="1"/>
        <v>17284</v>
      </c>
    </row>
    <row r="55" spans="1:3" ht="25.5" x14ac:dyDescent="0.2">
      <c r="A55" s="90" t="s">
        <v>1478</v>
      </c>
      <c r="B55" s="74" t="s">
        <v>1493</v>
      </c>
      <c r="C55" s="81">
        <f t="shared" si="1"/>
        <v>17284</v>
      </c>
    </row>
    <row r="56" spans="1:3" ht="25.5" x14ac:dyDescent="0.2">
      <c r="A56" s="90" t="s">
        <v>1478</v>
      </c>
      <c r="B56" s="74" t="s">
        <v>1493</v>
      </c>
      <c r="C56" s="81">
        <f t="shared" si="1"/>
        <v>17284</v>
      </c>
    </row>
    <row r="57" spans="1:3" ht="25.5" x14ac:dyDescent="0.2">
      <c r="A57" s="90" t="s">
        <v>1478</v>
      </c>
      <c r="B57" s="74" t="s">
        <v>1493</v>
      </c>
      <c r="C57" s="81">
        <f t="shared" si="1"/>
        <v>17284</v>
      </c>
    </row>
    <row r="58" spans="1:3" ht="25.5" x14ac:dyDescent="0.2">
      <c r="A58" s="90" t="s">
        <v>1478</v>
      </c>
      <c r="B58" s="74" t="s">
        <v>1493</v>
      </c>
      <c r="C58" s="81">
        <f t="shared" si="1"/>
        <v>17284</v>
      </c>
    </row>
    <row r="59" spans="1:3" ht="25.5" x14ac:dyDescent="0.2">
      <c r="A59" s="90" t="s">
        <v>1478</v>
      </c>
      <c r="B59" s="74" t="s">
        <v>1493</v>
      </c>
      <c r="C59" s="81">
        <f t="shared" si="1"/>
        <v>17284</v>
      </c>
    </row>
    <row r="60" spans="1:3" ht="25.5" x14ac:dyDescent="0.2">
      <c r="A60" s="90" t="s">
        <v>1478</v>
      </c>
      <c r="B60" s="74" t="s">
        <v>1493</v>
      </c>
      <c r="C60" s="81">
        <f t="shared" si="1"/>
        <v>17284</v>
      </c>
    </row>
    <row r="61" spans="1:3" ht="25.5" x14ac:dyDescent="0.2">
      <c r="A61" s="90" t="s">
        <v>1478</v>
      </c>
      <c r="B61" s="74" t="s">
        <v>1493</v>
      </c>
      <c r="C61" s="81">
        <f t="shared" si="1"/>
        <v>17284</v>
      </c>
    </row>
    <row r="62" spans="1:3" ht="25.5" x14ac:dyDescent="0.2">
      <c r="A62" s="90" t="s">
        <v>1478</v>
      </c>
      <c r="B62" s="74" t="s">
        <v>1493</v>
      </c>
      <c r="C62" s="81">
        <f t="shared" si="1"/>
        <v>17284</v>
      </c>
    </row>
    <row r="63" spans="1:3" ht="25.5" x14ac:dyDescent="0.2">
      <c r="A63" s="90" t="s">
        <v>1478</v>
      </c>
      <c r="B63" s="74" t="s">
        <v>1493</v>
      </c>
      <c r="C63" s="81">
        <f t="shared" si="1"/>
        <v>17284</v>
      </c>
    </row>
    <row r="64" spans="1:3" ht="25.5" x14ac:dyDescent="0.2">
      <c r="A64" s="90" t="s">
        <v>1478</v>
      </c>
      <c r="B64" s="74" t="s">
        <v>1493</v>
      </c>
      <c r="C64" s="81">
        <f t="shared" si="1"/>
        <v>17284</v>
      </c>
    </row>
    <row r="65" spans="1:3" ht="25.5" x14ac:dyDescent="0.2">
      <c r="A65" s="90" t="s">
        <v>1478</v>
      </c>
      <c r="B65" s="74" t="s">
        <v>1493</v>
      </c>
      <c r="C65" s="81">
        <f t="shared" si="1"/>
        <v>17284</v>
      </c>
    </row>
    <row r="66" spans="1:3" ht="25.5" x14ac:dyDescent="0.2">
      <c r="A66" s="90" t="s">
        <v>1478</v>
      </c>
      <c r="B66" s="74" t="s">
        <v>1494</v>
      </c>
      <c r="C66" s="81">
        <f>4388.51*1.16</f>
        <v>5090.6715999999997</v>
      </c>
    </row>
    <row r="67" spans="1:3" ht="25.5" x14ac:dyDescent="0.2">
      <c r="A67" s="90" t="s">
        <v>1478</v>
      </c>
      <c r="B67" s="74" t="s">
        <v>1494</v>
      </c>
      <c r="C67" s="81">
        <f t="shared" ref="C67:C93" si="2">4388.51*1.16</f>
        <v>5090.6715999999997</v>
      </c>
    </row>
    <row r="68" spans="1:3" ht="25.5" x14ac:dyDescent="0.2">
      <c r="A68" s="90" t="s">
        <v>1478</v>
      </c>
      <c r="B68" s="74" t="s">
        <v>1494</v>
      </c>
      <c r="C68" s="81">
        <f t="shared" si="2"/>
        <v>5090.6715999999997</v>
      </c>
    </row>
    <row r="69" spans="1:3" ht="25.5" x14ac:dyDescent="0.2">
      <c r="A69" s="90" t="s">
        <v>1478</v>
      </c>
      <c r="B69" s="74" t="s">
        <v>1494</v>
      </c>
      <c r="C69" s="81">
        <f t="shared" si="2"/>
        <v>5090.6715999999997</v>
      </c>
    </row>
    <row r="70" spans="1:3" ht="25.5" x14ac:dyDescent="0.2">
      <c r="A70" s="90" t="s">
        <v>1478</v>
      </c>
      <c r="B70" s="74" t="s">
        <v>1494</v>
      </c>
      <c r="C70" s="81">
        <f t="shared" si="2"/>
        <v>5090.6715999999997</v>
      </c>
    </row>
    <row r="71" spans="1:3" ht="25.5" x14ac:dyDescent="0.2">
      <c r="A71" s="90" t="s">
        <v>1478</v>
      </c>
      <c r="B71" s="74" t="s">
        <v>1494</v>
      </c>
      <c r="C71" s="81">
        <f t="shared" si="2"/>
        <v>5090.6715999999997</v>
      </c>
    </row>
    <row r="72" spans="1:3" ht="25.5" x14ac:dyDescent="0.2">
      <c r="A72" s="90" t="s">
        <v>1478</v>
      </c>
      <c r="B72" s="74" t="s">
        <v>1494</v>
      </c>
      <c r="C72" s="81">
        <f t="shared" si="2"/>
        <v>5090.6715999999997</v>
      </c>
    </row>
    <row r="73" spans="1:3" ht="25.5" x14ac:dyDescent="0.2">
      <c r="A73" s="90" t="s">
        <v>1478</v>
      </c>
      <c r="B73" s="74" t="s">
        <v>1494</v>
      </c>
      <c r="C73" s="81">
        <f t="shared" si="2"/>
        <v>5090.6715999999997</v>
      </c>
    </row>
    <row r="74" spans="1:3" ht="25.5" x14ac:dyDescent="0.2">
      <c r="A74" s="90" t="s">
        <v>1478</v>
      </c>
      <c r="B74" s="74" t="s">
        <v>1494</v>
      </c>
      <c r="C74" s="81">
        <f t="shared" si="2"/>
        <v>5090.6715999999997</v>
      </c>
    </row>
    <row r="75" spans="1:3" ht="25.5" x14ac:dyDescent="0.2">
      <c r="A75" s="90" t="s">
        <v>1478</v>
      </c>
      <c r="B75" s="74" t="s">
        <v>1494</v>
      </c>
      <c r="C75" s="81">
        <f t="shared" si="2"/>
        <v>5090.6715999999997</v>
      </c>
    </row>
    <row r="76" spans="1:3" ht="25.5" x14ac:dyDescent="0.2">
      <c r="A76" s="90" t="s">
        <v>1478</v>
      </c>
      <c r="B76" s="74" t="s">
        <v>1494</v>
      </c>
      <c r="C76" s="81">
        <f t="shared" si="2"/>
        <v>5090.6715999999997</v>
      </c>
    </row>
    <row r="77" spans="1:3" ht="25.5" x14ac:dyDescent="0.2">
      <c r="A77" s="90" t="s">
        <v>1478</v>
      </c>
      <c r="B77" s="74" t="s">
        <v>1494</v>
      </c>
      <c r="C77" s="81">
        <f t="shared" si="2"/>
        <v>5090.6715999999997</v>
      </c>
    </row>
    <row r="78" spans="1:3" ht="25.5" x14ac:dyDescent="0.2">
      <c r="A78" s="90" t="s">
        <v>1478</v>
      </c>
      <c r="B78" s="74" t="s">
        <v>1494</v>
      </c>
      <c r="C78" s="81">
        <f t="shared" si="2"/>
        <v>5090.6715999999997</v>
      </c>
    </row>
    <row r="79" spans="1:3" ht="25.5" x14ac:dyDescent="0.2">
      <c r="A79" s="90" t="s">
        <v>1478</v>
      </c>
      <c r="B79" s="74" t="s">
        <v>1494</v>
      </c>
      <c r="C79" s="81">
        <f t="shared" si="2"/>
        <v>5090.6715999999997</v>
      </c>
    </row>
    <row r="80" spans="1:3" ht="25.5" x14ac:dyDescent="0.2">
      <c r="A80" s="90" t="s">
        <v>1478</v>
      </c>
      <c r="B80" s="74" t="s">
        <v>1494</v>
      </c>
      <c r="C80" s="81">
        <f t="shared" si="2"/>
        <v>5090.6715999999997</v>
      </c>
    </row>
    <row r="81" spans="1:3" ht="25.5" x14ac:dyDescent="0.2">
      <c r="A81" s="90" t="s">
        <v>1478</v>
      </c>
      <c r="B81" s="74" t="s">
        <v>1494</v>
      </c>
      <c r="C81" s="81">
        <f t="shared" si="2"/>
        <v>5090.6715999999997</v>
      </c>
    </row>
    <row r="82" spans="1:3" ht="25.5" x14ac:dyDescent="0.2">
      <c r="A82" s="90" t="s">
        <v>1478</v>
      </c>
      <c r="B82" s="74" t="s">
        <v>1494</v>
      </c>
      <c r="C82" s="81">
        <f t="shared" si="2"/>
        <v>5090.6715999999997</v>
      </c>
    </row>
    <row r="83" spans="1:3" ht="25.5" x14ac:dyDescent="0.2">
      <c r="A83" s="90" t="s">
        <v>1478</v>
      </c>
      <c r="B83" s="74" t="s">
        <v>1494</v>
      </c>
      <c r="C83" s="81">
        <f t="shared" si="2"/>
        <v>5090.6715999999997</v>
      </c>
    </row>
    <row r="84" spans="1:3" ht="25.5" x14ac:dyDescent="0.2">
      <c r="A84" s="90" t="s">
        <v>1478</v>
      </c>
      <c r="B84" s="74" t="s">
        <v>1494</v>
      </c>
      <c r="C84" s="81">
        <f t="shared" si="2"/>
        <v>5090.6715999999997</v>
      </c>
    </row>
    <row r="85" spans="1:3" ht="25.5" x14ac:dyDescent="0.2">
      <c r="A85" s="90" t="s">
        <v>1478</v>
      </c>
      <c r="B85" s="74" t="s">
        <v>1494</v>
      </c>
      <c r="C85" s="81">
        <f t="shared" si="2"/>
        <v>5090.6715999999997</v>
      </c>
    </row>
    <row r="86" spans="1:3" ht="25.5" x14ac:dyDescent="0.2">
      <c r="A86" s="90" t="s">
        <v>1478</v>
      </c>
      <c r="B86" s="74" t="s">
        <v>1494</v>
      </c>
      <c r="C86" s="81">
        <f t="shared" si="2"/>
        <v>5090.6715999999997</v>
      </c>
    </row>
    <row r="87" spans="1:3" ht="25.5" x14ac:dyDescent="0.2">
      <c r="A87" s="90" t="s">
        <v>1478</v>
      </c>
      <c r="B87" s="74" t="s">
        <v>1494</v>
      </c>
      <c r="C87" s="81">
        <f t="shared" si="2"/>
        <v>5090.6715999999997</v>
      </c>
    </row>
    <row r="88" spans="1:3" ht="25.5" x14ac:dyDescent="0.2">
      <c r="A88" s="90" t="s">
        <v>1478</v>
      </c>
      <c r="B88" s="74" t="s">
        <v>1494</v>
      </c>
      <c r="C88" s="81">
        <f t="shared" si="2"/>
        <v>5090.6715999999997</v>
      </c>
    </row>
    <row r="89" spans="1:3" ht="25.5" x14ac:dyDescent="0.2">
      <c r="A89" s="90" t="s">
        <v>1478</v>
      </c>
      <c r="B89" s="74" t="s">
        <v>1494</v>
      </c>
      <c r="C89" s="81">
        <f t="shared" si="2"/>
        <v>5090.6715999999997</v>
      </c>
    </row>
    <row r="90" spans="1:3" ht="25.5" x14ac:dyDescent="0.2">
      <c r="A90" s="90" t="s">
        <v>1478</v>
      </c>
      <c r="B90" s="74" t="s">
        <v>1494</v>
      </c>
      <c r="C90" s="81">
        <f t="shared" si="2"/>
        <v>5090.6715999999997</v>
      </c>
    </row>
    <row r="91" spans="1:3" ht="25.5" x14ac:dyDescent="0.2">
      <c r="A91" s="90" t="s">
        <v>1478</v>
      </c>
      <c r="B91" s="74" t="s">
        <v>1494</v>
      </c>
      <c r="C91" s="81">
        <f t="shared" si="2"/>
        <v>5090.6715999999997</v>
      </c>
    </row>
    <row r="92" spans="1:3" ht="25.5" x14ac:dyDescent="0.2">
      <c r="A92" s="90" t="s">
        <v>1478</v>
      </c>
      <c r="B92" s="74" t="s">
        <v>1494</v>
      </c>
      <c r="C92" s="81">
        <f t="shared" si="2"/>
        <v>5090.6715999999997</v>
      </c>
    </row>
    <row r="93" spans="1:3" ht="25.5" x14ac:dyDescent="0.2">
      <c r="A93" s="90" t="s">
        <v>1478</v>
      </c>
      <c r="B93" s="74" t="s">
        <v>1494</v>
      </c>
      <c r="C93" s="81">
        <f t="shared" si="2"/>
        <v>5090.6715999999997</v>
      </c>
    </row>
    <row r="94" spans="1:3" ht="89.25" x14ac:dyDescent="0.2">
      <c r="A94" s="90" t="s">
        <v>1478</v>
      </c>
      <c r="B94" s="74" t="s">
        <v>1495</v>
      </c>
      <c r="C94" s="81">
        <v>6881.62</v>
      </c>
    </row>
    <row r="95" spans="1:3" ht="127.5" x14ac:dyDescent="0.2">
      <c r="A95" s="90" t="s">
        <v>1478</v>
      </c>
      <c r="B95" s="74" t="s">
        <v>1496</v>
      </c>
      <c r="C95" s="81">
        <f>80750*1.16</f>
        <v>93670</v>
      </c>
    </row>
    <row r="96" spans="1:3" x14ac:dyDescent="0.2">
      <c r="A96" s="90" t="s">
        <v>1478</v>
      </c>
      <c r="B96" s="74" t="s">
        <v>1497</v>
      </c>
      <c r="C96" s="129">
        <f>8800*1.16</f>
        <v>10208</v>
      </c>
    </row>
    <row r="97" spans="1:3" x14ac:dyDescent="0.2">
      <c r="A97" s="90" t="s">
        <v>1478</v>
      </c>
      <c r="B97" s="74" t="s">
        <v>1498</v>
      </c>
      <c r="C97" s="130"/>
    </row>
    <row r="98" spans="1:3" ht="25.5" x14ac:dyDescent="0.2">
      <c r="A98" s="90" t="s">
        <v>1478</v>
      </c>
      <c r="B98" s="74" t="s">
        <v>1499</v>
      </c>
      <c r="C98" s="130"/>
    </row>
    <row r="99" spans="1:3" ht="15.95" customHeight="1" x14ac:dyDescent="0.2">
      <c r="A99" s="90" t="s">
        <v>1478</v>
      </c>
      <c r="B99" s="74" t="s">
        <v>1500</v>
      </c>
      <c r="C99" s="131"/>
    </row>
    <row r="100" spans="1:3" ht="25.5" x14ac:dyDescent="0.2">
      <c r="A100" s="90" t="s">
        <v>1478</v>
      </c>
      <c r="B100" s="74" t="s">
        <v>1501</v>
      </c>
      <c r="C100" s="129">
        <v>47768.800000000003</v>
      </c>
    </row>
    <row r="101" spans="1:3" ht="15.95" customHeight="1" x14ac:dyDescent="0.2">
      <c r="A101" s="90" t="s">
        <v>1478</v>
      </c>
      <c r="B101" s="74" t="s">
        <v>1502</v>
      </c>
      <c r="C101" s="130"/>
    </row>
    <row r="102" spans="1:3" ht="25.5" x14ac:dyDescent="0.2">
      <c r="A102" s="90" t="s">
        <v>1478</v>
      </c>
      <c r="B102" s="74" t="s">
        <v>1503</v>
      </c>
      <c r="C102" s="131"/>
    </row>
    <row r="103" spans="1:3" x14ac:dyDescent="0.2">
      <c r="A103" s="90" t="s">
        <v>1478</v>
      </c>
      <c r="B103" s="74" t="s">
        <v>1504</v>
      </c>
      <c r="C103" s="81">
        <v>53371.6</v>
      </c>
    </row>
    <row r="104" spans="1:3" ht="13.5" thickBot="1" x14ac:dyDescent="0.25">
      <c r="A104" s="63"/>
      <c r="B104" s="64"/>
      <c r="C104" s="64"/>
    </row>
    <row r="105" spans="1:3" ht="17.25" customHeight="1" x14ac:dyDescent="0.2">
      <c r="A105" s="65"/>
      <c r="B105" s="65"/>
      <c r="C105" s="65"/>
    </row>
    <row r="108" spans="1:3" x14ac:dyDescent="0.2">
      <c r="B108" s="54"/>
      <c r="C108" s="54"/>
    </row>
    <row r="109" spans="1:3" x14ac:dyDescent="0.2">
      <c r="B109" s="54"/>
      <c r="C109" s="54"/>
    </row>
    <row r="110" spans="1:3" x14ac:dyDescent="0.2">
      <c r="B110" s="54"/>
      <c r="C110" s="54"/>
    </row>
    <row r="111" spans="1:3" x14ac:dyDescent="0.2">
      <c r="B111" s="54"/>
      <c r="C111" s="54"/>
    </row>
    <row r="112" spans="1:3" x14ac:dyDescent="0.2">
      <c r="B112" s="54"/>
      <c r="C112" s="54"/>
    </row>
    <row r="113" spans="2:3" x14ac:dyDescent="0.2">
      <c r="B113" s="54"/>
      <c r="C113" s="54"/>
    </row>
    <row r="114" spans="2:3" x14ac:dyDescent="0.2">
      <c r="B114" s="54"/>
      <c r="C114" s="54"/>
    </row>
    <row r="115" spans="2:3" x14ac:dyDescent="0.2">
      <c r="B115" s="54"/>
      <c r="C115" s="54"/>
    </row>
    <row r="116" spans="2:3" x14ac:dyDescent="0.2">
      <c r="B116" s="54"/>
      <c r="C116" s="54"/>
    </row>
    <row r="117" spans="2:3" x14ac:dyDescent="0.2">
      <c r="B117" s="54"/>
      <c r="C117" s="54"/>
    </row>
    <row r="118" spans="2:3" x14ac:dyDescent="0.2">
      <c r="B118" s="54"/>
      <c r="C118" s="54"/>
    </row>
    <row r="119" spans="2:3" x14ac:dyDescent="0.2">
      <c r="B119" s="54"/>
      <c r="C119" s="54"/>
    </row>
    <row r="120" spans="2:3" x14ac:dyDescent="0.2">
      <c r="B120" s="54"/>
      <c r="C120" s="54"/>
    </row>
    <row r="121" spans="2:3" x14ac:dyDescent="0.2">
      <c r="B121" s="54"/>
      <c r="C121" s="54"/>
    </row>
    <row r="122" spans="2:3" x14ac:dyDescent="0.2">
      <c r="B122" s="54"/>
      <c r="C122" s="54"/>
    </row>
    <row r="123" spans="2:3" x14ac:dyDescent="0.2">
      <c r="B123" s="54"/>
      <c r="C123" s="54"/>
    </row>
    <row r="124" spans="2:3" x14ac:dyDescent="0.2">
      <c r="B124" s="54"/>
      <c r="C124" s="54"/>
    </row>
    <row r="125" spans="2:3" x14ac:dyDescent="0.2">
      <c r="B125" s="54"/>
      <c r="C125" s="54"/>
    </row>
    <row r="126" spans="2:3" x14ac:dyDescent="0.2">
      <c r="B126" s="54"/>
      <c r="C126" s="54"/>
    </row>
    <row r="127" spans="2:3" x14ac:dyDescent="0.2">
      <c r="B127" s="54"/>
      <c r="C127" s="54"/>
    </row>
    <row r="128" spans="2:3" x14ac:dyDescent="0.2">
      <c r="B128" s="54"/>
      <c r="C128" s="54"/>
    </row>
    <row r="129" spans="1:3" x14ac:dyDescent="0.2">
      <c r="B129" s="54"/>
      <c r="C129" s="54"/>
    </row>
    <row r="130" spans="1:3" x14ac:dyDescent="0.2">
      <c r="B130" s="54"/>
      <c r="C130" s="54"/>
    </row>
    <row r="131" spans="1:3" x14ac:dyDescent="0.2">
      <c r="B131" s="54"/>
      <c r="C131" s="54"/>
    </row>
    <row r="132" spans="1:3" x14ac:dyDescent="0.2">
      <c r="B132" s="54"/>
      <c r="C132" s="54"/>
    </row>
    <row r="133" spans="1:3" x14ac:dyDescent="0.2">
      <c r="B133" s="54"/>
      <c r="C133" s="54"/>
    </row>
    <row r="134" spans="1:3" x14ac:dyDescent="0.2">
      <c r="B134" s="54"/>
      <c r="C134" s="54"/>
    </row>
    <row r="135" spans="1:3" x14ac:dyDescent="0.2">
      <c r="B135" s="54"/>
      <c r="C135" s="54"/>
    </row>
    <row r="136" spans="1:3" x14ac:dyDescent="0.2">
      <c r="B136" s="54"/>
      <c r="C136" s="54"/>
    </row>
    <row r="137" spans="1:3" x14ac:dyDescent="0.2">
      <c r="B137" s="54"/>
      <c r="C137" s="54"/>
    </row>
    <row r="138" spans="1:3" x14ac:dyDescent="0.2">
      <c r="B138" s="54"/>
      <c r="C138" s="54"/>
    </row>
    <row r="139" spans="1:3" x14ac:dyDescent="0.2">
      <c r="A139" s="66"/>
    </row>
    <row r="140" spans="1:3" x14ac:dyDescent="0.2">
      <c r="A140" s="66"/>
      <c r="B140" s="67"/>
    </row>
    <row r="141" spans="1:3" ht="12.75" customHeight="1" x14ac:dyDescent="0.2">
      <c r="A141" s="66"/>
      <c r="B141" s="71"/>
      <c r="C141" s="71"/>
    </row>
    <row r="142" spans="1:3" ht="12.75" customHeight="1" x14ac:dyDescent="0.2">
      <c r="B142" s="71"/>
      <c r="C142" s="71"/>
    </row>
    <row r="153" s="68" customFormat="1" ht="11.25" x14ac:dyDescent="0.2"/>
  </sheetData>
  <mergeCells count="2">
    <mergeCell ref="C100:C102"/>
    <mergeCell ref="C96:C99"/>
  </mergeCells>
  <printOptions horizontalCentered="1"/>
  <pageMargins left="0.35433070866141736" right="3.937007874015748E-2" top="0.51181102362204722" bottom="0.62992125984251968" header="0" footer="0"/>
  <pageSetup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tabSelected="1" zoomScaleNormal="100" workbookViewId="0">
      <pane ySplit="6" topLeftCell="A7" activePane="bottomLeft" state="frozen"/>
      <selection pane="bottomLeft" activeCell="D16" sqref="D16"/>
    </sheetView>
  </sheetViews>
  <sheetFormatPr baseColWidth="10" defaultRowHeight="12.75" x14ac:dyDescent="0.2"/>
  <cols>
    <col min="1" max="1" width="31.140625" style="50" customWidth="1"/>
    <col min="2" max="2" width="47.28515625" style="50" customWidth="1"/>
    <col min="3" max="3" width="34.85546875" style="50" customWidth="1"/>
    <col min="4" max="16384" width="11.42578125" style="50"/>
  </cols>
  <sheetData>
    <row r="1" spans="1:8" ht="15.75" customHeight="1" x14ac:dyDescent="0.25">
      <c r="A1" s="55"/>
      <c r="B1" s="55"/>
      <c r="C1" s="72" t="s">
        <v>150</v>
      </c>
      <c r="D1" s="53"/>
      <c r="E1" s="53"/>
      <c r="F1" s="53"/>
      <c r="G1" s="53"/>
      <c r="H1" s="53"/>
    </row>
    <row r="2" spans="1:8" ht="23.25" customHeight="1" x14ac:dyDescent="0.25">
      <c r="A2" s="51" t="s">
        <v>151</v>
      </c>
      <c r="B2" s="52"/>
      <c r="C2" s="52"/>
      <c r="D2" s="53"/>
      <c r="E2" s="53"/>
      <c r="F2" s="53"/>
      <c r="G2" s="53"/>
      <c r="H2" s="53"/>
    </row>
    <row r="3" spans="1:8" ht="15" x14ac:dyDescent="0.25">
      <c r="A3" s="51" t="s">
        <v>152</v>
      </c>
      <c r="B3" s="51"/>
      <c r="C3" s="51"/>
    </row>
    <row r="4" spans="1:8" ht="12.75" customHeight="1" x14ac:dyDescent="0.25">
      <c r="A4" s="56"/>
      <c r="B4" s="56"/>
      <c r="C4" s="56"/>
    </row>
    <row r="5" spans="1:8" ht="13.5" thickBot="1" x14ac:dyDescent="0.25">
      <c r="A5" s="57" t="s">
        <v>20</v>
      </c>
      <c r="B5" s="57" t="s">
        <v>21</v>
      </c>
      <c r="C5" s="57" t="s">
        <v>16</v>
      </c>
    </row>
    <row r="6" spans="1:8" ht="31.5" customHeight="1" thickBot="1" x14ac:dyDescent="0.25">
      <c r="A6" s="69" t="s">
        <v>148</v>
      </c>
      <c r="B6" s="70" t="s">
        <v>132</v>
      </c>
      <c r="C6" s="70" t="s">
        <v>149</v>
      </c>
    </row>
    <row r="7" spans="1:8" x14ac:dyDescent="0.2">
      <c r="A7" s="58"/>
      <c r="B7" s="59"/>
      <c r="C7" s="59"/>
    </row>
    <row r="8" spans="1:8" x14ac:dyDescent="0.2">
      <c r="A8" s="60"/>
      <c r="B8" s="61"/>
      <c r="C8" s="61"/>
    </row>
    <row r="9" spans="1:8" x14ac:dyDescent="0.2">
      <c r="A9" s="60"/>
      <c r="B9" s="61"/>
      <c r="C9" s="61"/>
    </row>
    <row r="10" spans="1:8" x14ac:dyDescent="0.2">
      <c r="A10" s="60"/>
      <c r="B10" s="62"/>
      <c r="C10" s="62"/>
    </row>
    <row r="11" spans="1:8" ht="13.5" thickBot="1" x14ac:dyDescent="0.25">
      <c r="A11" s="63"/>
      <c r="B11" s="64"/>
      <c r="C11" s="64"/>
    </row>
    <row r="12" spans="1:8" ht="17.25" customHeight="1" x14ac:dyDescent="0.2">
      <c r="A12" s="65"/>
      <c r="B12" s="65"/>
      <c r="C12" s="65"/>
    </row>
    <row r="15" spans="1:8" x14ac:dyDescent="0.2">
      <c r="B15" s="54"/>
      <c r="C15" s="54"/>
    </row>
    <row r="16" spans="1:8" x14ac:dyDescent="0.2">
      <c r="B16" s="54"/>
      <c r="C16" s="54"/>
    </row>
    <row r="17" spans="1:3" x14ac:dyDescent="0.2">
      <c r="B17" s="54"/>
      <c r="C17" s="54"/>
    </row>
    <row r="18" spans="1:3" x14ac:dyDescent="0.2">
      <c r="A18" s="66"/>
    </row>
    <row r="19" spans="1:3" x14ac:dyDescent="0.2">
      <c r="A19" s="66"/>
      <c r="B19" s="67"/>
    </row>
    <row r="20" spans="1:3" ht="12.75" customHeight="1" x14ac:dyDescent="0.2">
      <c r="A20" s="66"/>
      <c r="B20" s="71"/>
      <c r="C20" s="71"/>
    </row>
    <row r="21" spans="1:3" ht="12.75" customHeight="1" x14ac:dyDescent="0.2">
      <c r="B21" s="71"/>
      <c r="C21" s="71"/>
    </row>
    <row r="32" spans="1:3" s="68" customFormat="1" ht="11.25" x14ac:dyDescent="0.2"/>
  </sheetData>
  <printOptions horizontalCentered="1"/>
  <pageMargins left="0.35433070866141736" right="3.937007874015748E-2" top="0.51181102362204722" bottom="0.62992125984251968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R33"/>
  <sheetViews>
    <sheetView showGridLines="0" workbookViewId="0">
      <selection activeCell="A4" sqref="A4:L4"/>
    </sheetView>
  </sheetViews>
  <sheetFormatPr baseColWidth="10" defaultRowHeight="12.75" x14ac:dyDescent="0.2"/>
  <cols>
    <col min="1" max="1" width="6.85546875" style="26" customWidth="1"/>
    <col min="2" max="2" width="11.7109375" style="26" customWidth="1"/>
    <col min="3" max="3" width="25.7109375" style="26" customWidth="1"/>
    <col min="4" max="4" width="19" style="26" customWidth="1"/>
    <col min="5" max="5" width="10.85546875" style="26" customWidth="1"/>
    <col min="6" max="6" width="11.42578125" style="26"/>
    <col min="7" max="7" width="14.42578125" style="26" customWidth="1"/>
    <col min="8" max="8" width="16.42578125" style="26" customWidth="1"/>
    <col min="9" max="9" width="13.42578125" style="26" customWidth="1"/>
    <col min="10" max="10" width="12.5703125" style="26" customWidth="1"/>
    <col min="11" max="12" width="13.140625" style="26" customWidth="1"/>
    <col min="13" max="13" width="2.28515625" style="26" customWidth="1"/>
    <col min="14" max="16384" width="11.42578125" style="26"/>
  </cols>
  <sheetData>
    <row r="1" spans="1:18" ht="16.5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L1" s="27" t="s">
        <v>147</v>
      </c>
      <c r="M1" s="25"/>
      <c r="N1" s="25"/>
      <c r="O1" s="25"/>
      <c r="P1" s="25"/>
    </row>
    <row r="2" spans="1:18" ht="16.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K2" s="27"/>
      <c r="M2" s="25"/>
      <c r="N2" s="25"/>
      <c r="O2" s="25"/>
      <c r="P2" s="25"/>
    </row>
    <row r="3" spans="1:18" ht="18" x14ac:dyDescent="0.25">
      <c r="A3" s="25" t="str">
        <f>+Indice!$F$9&amp;Indice!$F$10</f>
        <v>Nombre del Ente: ___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5"/>
      <c r="N3" s="25"/>
      <c r="O3" s="25"/>
      <c r="P3" s="25"/>
    </row>
    <row r="4" spans="1:18" ht="21.75" customHeight="1" x14ac:dyDescent="0.25">
      <c r="A4" s="119" t="s">
        <v>146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25"/>
      <c r="N4" s="25"/>
      <c r="O4" s="25"/>
      <c r="P4" s="25"/>
    </row>
    <row r="5" spans="1:18" ht="18" x14ac:dyDescent="0.25">
      <c r="A5" s="29"/>
      <c r="B5" s="30" t="s">
        <v>35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5"/>
      <c r="N5" s="25"/>
      <c r="O5" s="25"/>
      <c r="P5" s="25"/>
    </row>
    <row r="7" spans="1:18" ht="13.5" thickBot="1" x14ac:dyDescent="0.25">
      <c r="A7" s="31"/>
      <c r="B7" s="32" t="s">
        <v>5</v>
      </c>
      <c r="C7" s="32" t="s">
        <v>6</v>
      </c>
      <c r="D7" s="32" t="s">
        <v>7</v>
      </c>
      <c r="E7" s="32" t="s">
        <v>8</v>
      </c>
      <c r="F7" s="32" t="s">
        <v>9</v>
      </c>
      <c r="G7" s="32" t="s">
        <v>10</v>
      </c>
      <c r="H7" s="32" t="s">
        <v>11</v>
      </c>
      <c r="I7" s="32"/>
      <c r="J7" s="120" t="s">
        <v>12</v>
      </c>
      <c r="K7" s="120"/>
      <c r="L7" s="32" t="s">
        <v>13</v>
      </c>
    </row>
    <row r="8" spans="1:18" ht="13.5" customHeight="1" x14ac:dyDescent="0.2">
      <c r="A8" s="121" t="s">
        <v>15</v>
      </c>
      <c r="B8" s="123" t="s">
        <v>1</v>
      </c>
      <c r="C8" s="125" t="s">
        <v>4</v>
      </c>
      <c r="D8" s="125" t="s">
        <v>22</v>
      </c>
      <c r="E8" s="117" t="s">
        <v>145</v>
      </c>
      <c r="F8" s="125" t="s">
        <v>0</v>
      </c>
      <c r="G8" s="123" t="s">
        <v>2</v>
      </c>
      <c r="H8" s="123" t="s">
        <v>3</v>
      </c>
      <c r="I8" s="114" t="s">
        <v>18</v>
      </c>
      <c r="J8" s="115"/>
      <c r="K8" s="116"/>
      <c r="L8" s="127" t="s">
        <v>19</v>
      </c>
    </row>
    <row r="9" spans="1:18" s="36" customFormat="1" ht="15" customHeight="1" thickBot="1" x14ac:dyDescent="0.25">
      <c r="A9" s="122"/>
      <c r="B9" s="124"/>
      <c r="C9" s="126"/>
      <c r="D9" s="126"/>
      <c r="E9" s="118"/>
      <c r="F9" s="126"/>
      <c r="G9" s="124"/>
      <c r="H9" s="124"/>
      <c r="I9" s="33" t="s">
        <v>144</v>
      </c>
      <c r="J9" s="34" t="s">
        <v>17</v>
      </c>
      <c r="K9" s="34" t="s">
        <v>36</v>
      </c>
      <c r="L9" s="128"/>
      <c r="M9" s="35"/>
      <c r="N9" s="35"/>
      <c r="O9" s="35"/>
      <c r="P9" s="35"/>
      <c r="Q9" s="35"/>
      <c r="R9" s="35"/>
    </row>
    <row r="10" spans="1:18" x14ac:dyDescent="0.2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9"/>
      <c r="L10" s="40"/>
    </row>
    <row r="11" spans="1:18" x14ac:dyDescent="0.2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44"/>
    </row>
    <row r="12" spans="1:18" x14ac:dyDescent="0.2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44"/>
    </row>
    <row r="13" spans="1:18" x14ac:dyDescent="0.2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3"/>
      <c r="L13" s="44"/>
    </row>
    <row r="14" spans="1:18" ht="13.5" thickBot="1" x14ac:dyDescent="0.25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7"/>
      <c r="L14" s="48"/>
    </row>
    <row r="16" spans="1:18" x14ac:dyDescent="0.2">
      <c r="B16" s="36"/>
      <c r="D16" s="36"/>
      <c r="E16" s="36"/>
      <c r="G16" s="36"/>
      <c r="J16" s="36"/>
      <c r="K16" s="36"/>
    </row>
    <row r="17" spans="2:11" x14ac:dyDescent="0.2">
      <c r="B17" s="36"/>
      <c r="D17" s="36"/>
      <c r="E17" s="36"/>
      <c r="G17" s="36"/>
      <c r="J17" s="36"/>
      <c r="K17" s="36"/>
    </row>
    <row r="18" spans="2:11" x14ac:dyDescent="0.2">
      <c r="B18" s="36"/>
      <c r="D18" s="36"/>
      <c r="E18" s="36"/>
      <c r="G18" s="36"/>
      <c r="J18" s="36"/>
      <c r="K18" s="36"/>
    </row>
    <row r="19" spans="2:11" x14ac:dyDescent="0.2">
      <c r="B19" s="36"/>
      <c r="D19" s="36"/>
      <c r="E19" s="36"/>
      <c r="G19" s="36"/>
      <c r="J19" s="36"/>
      <c r="K19" s="36"/>
    </row>
    <row r="33" spans="2:2" ht="16.5" x14ac:dyDescent="0.3">
      <c r="B33" s="49"/>
    </row>
  </sheetData>
  <mergeCells count="12">
    <mergeCell ref="I8:K8"/>
    <mergeCell ref="E8:E9"/>
    <mergeCell ref="A4:L4"/>
    <mergeCell ref="J7:K7"/>
    <mergeCell ref="A8:A9"/>
    <mergeCell ref="B8:B9"/>
    <mergeCell ref="C8:C9"/>
    <mergeCell ref="L8:L9"/>
    <mergeCell ref="D8:D9"/>
    <mergeCell ref="F8:F9"/>
    <mergeCell ref="G8:G9"/>
    <mergeCell ref="H8:H9"/>
  </mergeCells>
  <pageMargins left="1.1023622047244095" right="0.9055118110236221" top="1.3385826771653544" bottom="0.94488188976377963" header="0.31496062992125984" footer="0.31496062992125984"/>
  <pageSetup paperSize="136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zoomScaleNormal="100" workbookViewId="0">
      <pane ySplit="6" topLeftCell="A16" activePane="bottomLeft" state="frozen"/>
      <selection pane="bottomLeft" activeCell="E19" sqref="E19"/>
    </sheetView>
  </sheetViews>
  <sheetFormatPr baseColWidth="10" defaultRowHeight="12.75" x14ac:dyDescent="0.2"/>
  <cols>
    <col min="1" max="1" width="31.140625" style="50" customWidth="1"/>
    <col min="2" max="2" width="47.28515625" style="50" customWidth="1"/>
    <col min="3" max="3" width="34.85546875" style="50" customWidth="1"/>
    <col min="4" max="16384" width="11.42578125" style="50"/>
  </cols>
  <sheetData>
    <row r="1" spans="1:8" ht="15.75" customHeight="1" x14ac:dyDescent="0.25">
      <c r="A1" s="55"/>
      <c r="B1" s="55"/>
      <c r="C1" s="72" t="s">
        <v>150</v>
      </c>
      <c r="D1" s="53"/>
      <c r="E1" s="53"/>
      <c r="F1" s="53"/>
      <c r="G1" s="53"/>
      <c r="H1" s="53"/>
    </row>
    <row r="2" spans="1:8" ht="23.25" customHeight="1" x14ac:dyDescent="0.25">
      <c r="A2" s="51" t="s">
        <v>151</v>
      </c>
      <c r="B2" s="52"/>
      <c r="C2" s="52"/>
      <c r="D2" s="53"/>
      <c r="E2" s="53"/>
      <c r="F2" s="53"/>
      <c r="G2" s="53"/>
      <c r="H2" s="53"/>
    </row>
    <row r="3" spans="1:8" ht="15" x14ac:dyDescent="0.25">
      <c r="A3" s="51" t="s">
        <v>152</v>
      </c>
      <c r="B3" s="51"/>
      <c r="C3" s="51"/>
    </row>
    <row r="4" spans="1:8" ht="12.75" customHeight="1" x14ac:dyDescent="0.25">
      <c r="A4" s="56"/>
      <c r="B4" s="56"/>
      <c r="C4" s="56"/>
    </row>
    <row r="5" spans="1:8" ht="13.5" thickBot="1" x14ac:dyDescent="0.25">
      <c r="A5" s="57" t="s">
        <v>20</v>
      </c>
      <c r="B5" s="57" t="s">
        <v>21</v>
      </c>
      <c r="C5" s="57" t="s">
        <v>16</v>
      </c>
    </row>
    <row r="6" spans="1:8" ht="31.5" customHeight="1" thickBot="1" x14ac:dyDescent="0.25">
      <c r="A6" s="69" t="s">
        <v>148</v>
      </c>
      <c r="B6" s="70" t="s">
        <v>132</v>
      </c>
      <c r="C6" s="70" t="s">
        <v>149</v>
      </c>
    </row>
    <row r="7" spans="1:8" x14ac:dyDescent="0.2">
      <c r="A7" s="58"/>
      <c r="B7" s="59"/>
      <c r="C7" s="59"/>
    </row>
    <row r="8" spans="1:8" x14ac:dyDescent="0.2">
      <c r="A8" s="60"/>
      <c r="B8" s="61"/>
      <c r="C8" s="61"/>
    </row>
    <row r="9" spans="1:8" x14ac:dyDescent="0.2">
      <c r="A9" s="60"/>
      <c r="B9" s="61"/>
      <c r="C9" s="61"/>
    </row>
    <row r="10" spans="1:8" x14ac:dyDescent="0.2">
      <c r="A10" s="60"/>
      <c r="B10" s="62"/>
      <c r="C10" s="62"/>
    </row>
    <row r="11" spans="1:8" ht="13.5" thickBot="1" x14ac:dyDescent="0.25">
      <c r="A11" s="63"/>
      <c r="B11" s="64"/>
      <c r="C11" s="64"/>
    </row>
    <row r="12" spans="1:8" ht="17.25" customHeight="1" x14ac:dyDescent="0.2">
      <c r="A12" s="65"/>
      <c r="B12" s="65"/>
      <c r="C12" s="65"/>
    </row>
    <row r="15" spans="1:8" x14ac:dyDescent="0.2">
      <c r="B15" s="54"/>
      <c r="C15" s="54"/>
    </row>
    <row r="16" spans="1:8" x14ac:dyDescent="0.2">
      <c r="B16" s="54"/>
      <c r="C16" s="54"/>
    </row>
    <row r="17" spans="1:3" x14ac:dyDescent="0.2">
      <c r="B17" s="54"/>
      <c r="C17" s="54"/>
    </row>
    <row r="18" spans="1:3" x14ac:dyDescent="0.2">
      <c r="A18" s="66"/>
    </row>
    <row r="19" spans="1:3" x14ac:dyDescent="0.2">
      <c r="A19" s="66"/>
      <c r="B19" s="67"/>
    </row>
    <row r="20" spans="1:3" ht="12.75" customHeight="1" x14ac:dyDescent="0.2">
      <c r="A20" s="66"/>
      <c r="B20" s="71"/>
      <c r="C20" s="71"/>
    </row>
    <row r="21" spans="1:3" ht="12.75" customHeight="1" x14ac:dyDescent="0.2">
      <c r="B21" s="71"/>
      <c r="C21" s="71"/>
    </row>
    <row r="32" spans="1:3" s="68" customFormat="1" ht="11.25" x14ac:dyDescent="0.2"/>
  </sheetData>
  <printOptions horizontalCentered="1"/>
  <pageMargins left="0.35433070866141736" right="3.937007874015748E-2" top="0.51181102362204722" bottom="0.62992125984251968" header="0" footer="0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200"/>
  <sheetViews>
    <sheetView showGridLines="0" zoomScale="95" zoomScaleNormal="95" workbookViewId="0">
      <pane ySplit="6" topLeftCell="A2145" activePane="bottomLeft" state="frozen"/>
      <selection pane="bottomLeft" activeCell="B2166" sqref="B2165:B2166"/>
    </sheetView>
  </sheetViews>
  <sheetFormatPr baseColWidth="10" defaultRowHeight="12.75" x14ac:dyDescent="0.2"/>
  <cols>
    <col min="1" max="1" width="29.5703125" style="50" customWidth="1"/>
    <col min="2" max="2" width="61.5703125" style="50" customWidth="1"/>
    <col min="3" max="3" width="25.7109375" style="83" customWidth="1"/>
    <col min="4" max="16384" width="11.42578125" style="50"/>
  </cols>
  <sheetData>
    <row r="1" spans="1:8" ht="15.75" customHeight="1" x14ac:dyDescent="0.25">
      <c r="A1" s="55"/>
      <c r="B1" s="55"/>
      <c r="C1" s="75" t="s">
        <v>150</v>
      </c>
      <c r="D1" s="53"/>
      <c r="E1" s="53"/>
      <c r="F1" s="53"/>
      <c r="G1" s="53"/>
      <c r="H1" s="53"/>
    </row>
    <row r="2" spans="1:8" ht="23.25" customHeight="1" x14ac:dyDescent="0.25">
      <c r="A2" s="51" t="s">
        <v>311</v>
      </c>
      <c r="B2" s="52"/>
      <c r="C2" s="76"/>
      <c r="D2" s="53"/>
      <c r="E2" s="53"/>
      <c r="F2" s="53"/>
      <c r="G2" s="53"/>
      <c r="H2" s="53"/>
    </row>
    <row r="3" spans="1:8" ht="15" x14ac:dyDescent="0.25">
      <c r="A3" s="51" t="s">
        <v>152</v>
      </c>
      <c r="B3" s="51"/>
      <c r="C3" s="77"/>
    </row>
    <row r="4" spans="1:8" ht="12.75" customHeight="1" x14ac:dyDescent="0.25">
      <c r="A4" s="56"/>
      <c r="B4" s="56"/>
      <c r="C4" s="78"/>
    </row>
    <row r="5" spans="1:8" ht="13.5" thickBot="1" x14ac:dyDescent="0.25">
      <c r="A5" s="57" t="s">
        <v>20</v>
      </c>
      <c r="B5" s="57" t="s">
        <v>21</v>
      </c>
      <c r="C5" s="79" t="s">
        <v>16</v>
      </c>
    </row>
    <row r="6" spans="1:8" ht="31.5" customHeight="1" thickBot="1" x14ac:dyDescent="0.25">
      <c r="A6" s="69" t="s">
        <v>148</v>
      </c>
      <c r="B6" s="70" t="s">
        <v>132</v>
      </c>
      <c r="C6" s="80" t="s">
        <v>149</v>
      </c>
    </row>
    <row r="7" spans="1:8" ht="25.5" x14ac:dyDescent="0.2">
      <c r="A7" s="87" t="s">
        <v>291</v>
      </c>
      <c r="B7" s="74" t="s">
        <v>153</v>
      </c>
      <c r="C7" s="81">
        <f t="shared" ref="C7:C34" si="0">3150*1.16</f>
        <v>3653.9999999999995</v>
      </c>
    </row>
    <row r="8" spans="1:8" ht="25.5" x14ac:dyDescent="0.2">
      <c r="A8" s="87" t="s">
        <v>291</v>
      </c>
      <c r="B8" s="74" t="s">
        <v>153</v>
      </c>
      <c r="C8" s="81">
        <f t="shared" si="0"/>
        <v>3653.9999999999995</v>
      </c>
    </row>
    <row r="9" spans="1:8" ht="25.5" x14ac:dyDescent="0.2">
      <c r="A9" s="87" t="s">
        <v>291</v>
      </c>
      <c r="B9" s="74" t="s">
        <v>153</v>
      </c>
      <c r="C9" s="81">
        <f t="shared" si="0"/>
        <v>3653.9999999999995</v>
      </c>
    </row>
    <row r="10" spans="1:8" ht="25.5" x14ac:dyDescent="0.2">
      <c r="A10" s="87" t="s">
        <v>291</v>
      </c>
      <c r="B10" s="74" t="s">
        <v>153</v>
      </c>
      <c r="C10" s="81">
        <f t="shared" si="0"/>
        <v>3653.9999999999995</v>
      </c>
    </row>
    <row r="11" spans="1:8" ht="25.5" x14ac:dyDescent="0.2">
      <c r="A11" s="87" t="s">
        <v>291</v>
      </c>
      <c r="B11" s="74" t="s">
        <v>153</v>
      </c>
      <c r="C11" s="81">
        <f t="shared" si="0"/>
        <v>3653.9999999999995</v>
      </c>
    </row>
    <row r="12" spans="1:8" ht="25.5" x14ac:dyDescent="0.2">
      <c r="A12" s="87" t="s">
        <v>291</v>
      </c>
      <c r="B12" s="74" t="s">
        <v>153</v>
      </c>
      <c r="C12" s="81">
        <f t="shared" si="0"/>
        <v>3653.9999999999995</v>
      </c>
    </row>
    <row r="13" spans="1:8" ht="25.5" x14ac:dyDescent="0.2">
      <c r="A13" s="87" t="s">
        <v>291</v>
      </c>
      <c r="B13" s="74" t="s">
        <v>153</v>
      </c>
      <c r="C13" s="81">
        <f t="shared" si="0"/>
        <v>3653.9999999999995</v>
      </c>
    </row>
    <row r="14" spans="1:8" ht="25.5" x14ac:dyDescent="0.2">
      <c r="A14" s="87" t="s">
        <v>291</v>
      </c>
      <c r="B14" s="74" t="s">
        <v>153</v>
      </c>
      <c r="C14" s="81">
        <f t="shared" si="0"/>
        <v>3653.9999999999995</v>
      </c>
    </row>
    <row r="15" spans="1:8" ht="25.5" x14ac:dyDescent="0.2">
      <c r="A15" s="87" t="s">
        <v>291</v>
      </c>
      <c r="B15" s="74" t="s">
        <v>153</v>
      </c>
      <c r="C15" s="81">
        <f t="shared" si="0"/>
        <v>3653.9999999999995</v>
      </c>
    </row>
    <row r="16" spans="1:8" ht="25.5" x14ac:dyDescent="0.2">
      <c r="A16" s="87" t="s">
        <v>291</v>
      </c>
      <c r="B16" s="74" t="s">
        <v>153</v>
      </c>
      <c r="C16" s="81">
        <f t="shared" si="0"/>
        <v>3653.9999999999995</v>
      </c>
    </row>
    <row r="17" spans="1:3" ht="25.5" x14ac:dyDescent="0.2">
      <c r="A17" s="87" t="s">
        <v>291</v>
      </c>
      <c r="B17" s="74" t="s">
        <v>153</v>
      </c>
      <c r="C17" s="81">
        <f t="shared" si="0"/>
        <v>3653.9999999999995</v>
      </c>
    </row>
    <row r="18" spans="1:3" ht="25.5" x14ac:dyDescent="0.2">
      <c r="A18" s="87" t="s">
        <v>291</v>
      </c>
      <c r="B18" s="74" t="s">
        <v>153</v>
      </c>
      <c r="C18" s="81">
        <f t="shared" si="0"/>
        <v>3653.9999999999995</v>
      </c>
    </row>
    <row r="19" spans="1:3" ht="25.5" x14ac:dyDescent="0.2">
      <c r="A19" s="87" t="s">
        <v>291</v>
      </c>
      <c r="B19" s="74" t="s">
        <v>153</v>
      </c>
      <c r="C19" s="81">
        <f t="shared" si="0"/>
        <v>3653.9999999999995</v>
      </c>
    </row>
    <row r="20" spans="1:3" ht="25.5" x14ac:dyDescent="0.2">
      <c r="A20" s="87" t="s">
        <v>291</v>
      </c>
      <c r="B20" s="74" t="s">
        <v>153</v>
      </c>
      <c r="C20" s="81">
        <f t="shared" si="0"/>
        <v>3653.9999999999995</v>
      </c>
    </row>
    <row r="21" spans="1:3" ht="25.5" x14ac:dyDescent="0.2">
      <c r="A21" s="87" t="s">
        <v>291</v>
      </c>
      <c r="B21" s="74" t="s">
        <v>153</v>
      </c>
      <c r="C21" s="81">
        <f t="shared" si="0"/>
        <v>3653.9999999999995</v>
      </c>
    </row>
    <row r="22" spans="1:3" ht="25.5" x14ac:dyDescent="0.2">
      <c r="A22" s="87" t="s">
        <v>291</v>
      </c>
      <c r="B22" s="74" t="s">
        <v>153</v>
      </c>
      <c r="C22" s="81">
        <f t="shared" si="0"/>
        <v>3653.9999999999995</v>
      </c>
    </row>
    <row r="23" spans="1:3" ht="25.5" x14ac:dyDescent="0.2">
      <c r="A23" s="87" t="s">
        <v>291</v>
      </c>
      <c r="B23" s="74" t="s">
        <v>153</v>
      </c>
      <c r="C23" s="81">
        <f t="shared" si="0"/>
        <v>3653.9999999999995</v>
      </c>
    </row>
    <row r="24" spans="1:3" ht="25.5" x14ac:dyDescent="0.2">
      <c r="A24" s="87" t="s">
        <v>291</v>
      </c>
      <c r="B24" s="74" t="s">
        <v>153</v>
      </c>
      <c r="C24" s="81">
        <f t="shared" si="0"/>
        <v>3653.9999999999995</v>
      </c>
    </row>
    <row r="25" spans="1:3" ht="25.5" x14ac:dyDescent="0.2">
      <c r="A25" s="87" t="s">
        <v>291</v>
      </c>
      <c r="B25" s="74" t="s">
        <v>153</v>
      </c>
      <c r="C25" s="81">
        <f t="shared" si="0"/>
        <v>3653.9999999999995</v>
      </c>
    </row>
    <row r="26" spans="1:3" ht="25.5" x14ac:dyDescent="0.2">
      <c r="A26" s="87" t="s">
        <v>291</v>
      </c>
      <c r="B26" s="74" t="s">
        <v>153</v>
      </c>
      <c r="C26" s="81">
        <f t="shared" si="0"/>
        <v>3653.9999999999995</v>
      </c>
    </row>
    <row r="27" spans="1:3" ht="25.5" x14ac:dyDescent="0.2">
      <c r="A27" s="87" t="s">
        <v>291</v>
      </c>
      <c r="B27" s="74" t="s">
        <v>153</v>
      </c>
      <c r="C27" s="81">
        <f t="shared" si="0"/>
        <v>3653.9999999999995</v>
      </c>
    </row>
    <row r="28" spans="1:3" ht="25.5" x14ac:dyDescent="0.2">
      <c r="A28" s="87" t="s">
        <v>291</v>
      </c>
      <c r="B28" s="74" t="s">
        <v>153</v>
      </c>
      <c r="C28" s="81">
        <f t="shared" si="0"/>
        <v>3653.9999999999995</v>
      </c>
    </row>
    <row r="29" spans="1:3" ht="25.5" x14ac:dyDescent="0.2">
      <c r="A29" s="87" t="s">
        <v>291</v>
      </c>
      <c r="B29" s="74" t="s">
        <v>153</v>
      </c>
      <c r="C29" s="81">
        <f t="shared" si="0"/>
        <v>3653.9999999999995</v>
      </c>
    </row>
    <row r="30" spans="1:3" ht="25.5" x14ac:dyDescent="0.2">
      <c r="A30" s="87" t="s">
        <v>291</v>
      </c>
      <c r="B30" s="74" t="s">
        <v>153</v>
      </c>
      <c r="C30" s="81">
        <f t="shared" si="0"/>
        <v>3653.9999999999995</v>
      </c>
    </row>
    <row r="31" spans="1:3" ht="25.5" x14ac:dyDescent="0.2">
      <c r="A31" s="87" t="s">
        <v>291</v>
      </c>
      <c r="B31" s="74" t="s">
        <v>153</v>
      </c>
      <c r="C31" s="81">
        <f t="shared" si="0"/>
        <v>3653.9999999999995</v>
      </c>
    </row>
    <row r="32" spans="1:3" ht="25.5" x14ac:dyDescent="0.2">
      <c r="A32" s="87" t="s">
        <v>291</v>
      </c>
      <c r="B32" s="74" t="s">
        <v>153</v>
      </c>
      <c r="C32" s="81">
        <f t="shared" si="0"/>
        <v>3653.9999999999995</v>
      </c>
    </row>
    <row r="33" spans="1:3" ht="25.5" x14ac:dyDescent="0.2">
      <c r="A33" s="87" t="s">
        <v>291</v>
      </c>
      <c r="B33" s="74" t="s">
        <v>153</v>
      </c>
      <c r="C33" s="81">
        <f t="shared" si="0"/>
        <v>3653.9999999999995</v>
      </c>
    </row>
    <row r="34" spans="1:3" ht="25.5" x14ac:dyDescent="0.2">
      <c r="A34" s="87" t="s">
        <v>291</v>
      </c>
      <c r="B34" s="74" t="s">
        <v>153</v>
      </c>
      <c r="C34" s="81">
        <f t="shared" si="0"/>
        <v>3653.9999999999995</v>
      </c>
    </row>
    <row r="35" spans="1:3" x14ac:dyDescent="0.2">
      <c r="A35" s="87" t="s">
        <v>291</v>
      </c>
      <c r="B35" s="74" t="s">
        <v>154</v>
      </c>
      <c r="C35" s="81">
        <f t="shared" ref="C35:C81" si="1">336.02*1.16</f>
        <v>389.78319999999997</v>
      </c>
    </row>
    <row r="36" spans="1:3" x14ac:dyDescent="0.2">
      <c r="A36" s="87" t="s">
        <v>291</v>
      </c>
      <c r="B36" s="74" t="s">
        <v>154</v>
      </c>
      <c r="C36" s="81">
        <f t="shared" si="1"/>
        <v>389.78319999999997</v>
      </c>
    </row>
    <row r="37" spans="1:3" x14ac:dyDescent="0.2">
      <c r="A37" s="87" t="s">
        <v>291</v>
      </c>
      <c r="B37" s="74" t="s">
        <v>154</v>
      </c>
      <c r="C37" s="81">
        <f t="shared" si="1"/>
        <v>389.78319999999997</v>
      </c>
    </row>
    <row r="38" spans="1:3" x14ac:dyDescent="0.2">
      <c r="A38" s="87" t="s">
        <v>291</v>
      </c>
      <c r="B38" s="74" t="s">
        <v>154</v>
      </c>
      <c r="C38" s="81">
        <f t="shared" si="1"/>
        <v>389.78319999999997</v>
      </c>
    </row>
    <row r="39" spans="1:3" x14ac:dyDescent="0.2">
      <c r="A39" s="87" t="s">
        <v>291</v>
      </c>
      <c r="B39" s="74" t="s">
        <v>154</v>
      </c>
      <c r="C39" s="81">
        <f t="shared" si="1"/>
        <v>389.78319999999997</v>
      </c>
    </row>
    <row r="40" spans="1:3" x14ac:dyDescent="0.2">
      <c r="A40" s="87" t="s">
        <v>291</v>
      </c>
      <c r="B40" s="74" t="s">
        <v>154</v>
      </c>
      <c r="C40" s="81">
        <f t="shared" si="1"/>
        <v>389.78319999999997</v>
      </c>
    </row>
    <row r="41" spans="1:3" x14ac:dyDescent="0.2">
      <c r="A41" s="87" t="s">
        <v>291</v>
      </c>
      <c r="B41" s="74" t="s">
        <v>154</v>
      </c>
      <c r="C41" s="81">
        <f t="shared" si="1"/>
        <v>389.78319999999997</v>
      </c>
    </row>
    <row r="42" spans="1:3" x14ac:dyDescent="0.2">
      <c r="A42" s="87" t="s">
        <v>291</v>
      </c>
      <c r="B42" s="74" t="s">
        <v>154</v>
      </c>
      <c r="C42" s="81">
        <f t="shared" si="1"/>
        <v>389.78319999999997</v>
      </c>
    </row>
    <row r="43" spans="1:3" x14ac:dyDescent="0.2">
      <c r="A43" s="87" t="s">
        <v>291</v>
      </c>
      <c r="B43" s="74" t="s">
        <v>154</v>
      </c>
      <c r="C43" s="81">
        <f t="shared" si="1"/>
        <v>389.78319999999997</v>
      </c>
    </row>
    <row r="44" spans="1:3" x14ac:dyDescent="0.2">
      <c r="A44" s="87" t="s">
        <v>291</v>
      </c>
      <c r="B44" s="74" t="s">
        <v>154</v>
      </c>
      <c r="C44" s="81">
        <f t="shared" si="1"/>
        <v>389.78319999999997</v>
      </c>
    </row>
    <row r="45" spans="1:3" x14ac:dyDescent="0.2">
      <c r="A45" s="87" t="s">
        <v>291</v>
      </c>
      <c r="B45" s="74" t="s">
        <v>154</v>
      </c>
      <c r="C45" s="81">
        <f t="shared" si="1"/>
        <v>389.78319999999997</v>
      </c>
    </row>
    <row r="46" spans="1:3" x14ac:dyDescent="0.2">
      <c r="A46" s="87" t="s">
        <v>291</v>
      </c>
      <c r="B46" s="74" t="s">
        <v>154</v>
      </c>
      <c r="C46" s="81">
        <f t="shared" si="1"/>
        <v>389.78319999999997</v>
      </c>
    </row>
    <row r="47" spans="1:3" x14ac:dyDescent="0.2">
      <c r="A47" s="87" t="s">
        <v>291</v>
      </c>
      <c r="B47" s="74" t="s">
        <v>154</v>
      </c>
      <c r="C47" s="81">
        <f t="shared" si="1"/>
        <v>389.78319999999997</v>
      </c>
    </row>
    <row r="48" spans="1:3" x14ac:dyDescent="0.2">
      <c r="A48" s="87" t="s">
        <v>291</v>
      </c>
      <c r="B48" s="74" t="s">
        <v>154</v>
      </c>
      <c r="C48" s="81">
        <f t="shared" si="1"/>
        <v>389.78319999999997</v>
      </c>
    </row>
    <row r="49" spans="1:3" x14ac:dyDescent="0.2">
      <c r="A49" s="87" t="s">
        <v>291</v>
      </c>
      <c r="B49" s="74" t="s">
        <v>154</v>
      </c>
      <c r="C49" s="81">
        <f t="shared" si="1"/>
        <v>389.78319999999997</v>
      </c>
    </row>
    <row r="50" spans="1:3" x14ac:dyDescent="0.2">
      <c r="A50" s="87" t="s">
        <v>291</v>
      </c>
      <c r="B50" s="74" t="s">
        <v>154</v>
      </c>
      <c r="C50" s="81">
        <f t="shared" si="1"/>
        <v>389.78319999999997</v>
      </c>
    </row>
    <row r="51" spans="1:3" x14ac:dyDescent="0.2">
      <c r="A51" s="87" t="s">
        <v>291</v>
      </c>
      <c r="B51" s="74" t="s">
        <v>154</v>
      </c>
      <c r="C51" s="81">
        <f t="shared" si="1"/>
        <v>389.78319999999997</v>
      </c>
    </row>
    <row r="52" spans="1:3" x14ac:dyDescent="0.2">
      <c r="A52" s="87" t="s">
        <v>291</v>
      </c>
      <c r="B52" s="74" t="s">
        <v>154</v>
      </c>
      <c r="C52" s="81">
        <f t="shared" si="1"/>
        <v>389.78319999999997</v>
      </c>
    </row>
    <row r="53" spans="1:3" x14ac:dyDescent="0.2">
      <c r="A53" s="87" t="s">
        <v>291</v>
      </c>
      <c r="B53" s="74" t="s">
        <v>154</v>
      </c>
      <c r="C53" s="81">
        <f t="shared" si="1"/>
        <v>389.78319999999997</v>
      </c>
    </row>
    <row r="54" spans="1:3" x14ac:dyDescent="0.2">
      <c r="A54" s="87" t="s">
        <v>291</v>
      </c>
      <c r="B54" s="74" t="s">
        <v>154</v>
      </c>
      <c r="C54" s="81">
        <f t="shared" si="1"/>
        <v>389.78319999999997</v>
      </c>
    </row>
    <row r="55" spans="1:3" x14ac:dyDescent="0.2">
      <c r="A55" s="87" t="s">
        <v>291</v>
      </c>
      <c r="B55" s="74" t="s">
        <v>154</v>
      </c>
      <c r="C55" s="81">
        <f t="shared" si="1"/>
        <v>389.78319999999997</v>
      </c>
    </row>
    <row r="56" spans="1:3" x14ac:dyDescent="0.2">
      <c r="A56" s="87" t="s">
        <v>291</v>
      </c>
      <c r="B56" s="74" t="s">
        <v>154</v>
      </c>
      <c r="C56" s="81">
        <f t="shared" si="1"/>
        <v>389.78319999999997</v>
      </c>
    </row>
    <row r="57" spans="1:3" x14ac:dyDescent="0.2">
      <c r="A57" s="87" t="s">
        <v>291</v>
      </c>
      <c r="B57" s="74" t="s">
        <v>154</v>
      </c>
      <c r="C57" s="81">
        <f t="shared" si="1"/>
        <v>389.78319999999997</v>
      </c>
    </row>
    <row r="58" spans="1:3" x14ac:dyDescent="0.2">
      <c r="A58" s="87" t="s">
        <v>291</v>
      </c>
      <c r="B58" s="74" t="s">
        <v>154</v>
      </c>
      <c r="C58" s="81">
        <f t="shared" si="1"/>
        <v>389.78319999999997</v>
      </c>
    </row>
    <row r="59" spans="1:3" x14ac:dyDescent="0.2">
      <c r="A59" s="87" t="s">
        <v>291</v>
      </c>
      <c r="B59" s="74" t="s">
        <v>154</v>
      </c>
      <c r="C59" s="81">
        <f t="shared" si="1"/>
        <v>389.78319999999997</v>
      </c>
    </row>
    <row r="60" spans="1:3" x14ac:dyDescent="0.2">
      <c r="A60" s="87" t="s">
        <v>291</v>
      </c>
      <c r="B60" s="74" t="s">
        <v>154</v>
      </c>
      <c r="C60" s="81">
        <f t="shared" si="1"/>
        <v>389.78319999999997</v>
      </c>
    </row>
    <row r="61" spans="1:3" x14ac:dyDescent="0.2">
      <c r="A61" s="87" t="s">
        <v>291</v>
      </c>
      <c r="B61" s="74" t="s">
        <v>154</v>
      </c>
      <c r="C61" s="81">
        <f t="shared" si="1"/>
        <v>389.78319999999997</v>
      </c>
    </row>
    <row r="62" spans="1:3" x14ac:dyDescent="0.2">
      <c r="A62" s="87" t="s">
        <v>291</v>
      </c>
      <c r="B62" s="74" t="s">
        <v>154</v>
      </c>
      <c r="C62" s="81">
        <f t="shared" si="1"/>
        <v>389.78319999999997</v>
      </c>
    </row>
    <row r="63" spans="1:3" x14ac:dyDescent="0.2">
      <c r="A63" s="87" t="s">
        <v>291</v>
      </c>
      <c r="B63" s="74" t="s">
        <v>154</v>
      </c>
      <c r="C63" s="81">
        <f t="shared" si="1"/>
        <v>389.78319999999997</v>
      </c>
    </row>
    <row r="64" spans="1:3" x14ac:dyDescent="0.2">
      <c r="A64" s="87" t="s">
        <v>291</v>
      </c>
      <c r="B64" s="74" t="s">
        <v>154</v>
      </c>
      <c r="C64" s="81">
        <f t="shared" si="1"/>
        <v>389.78319999999997</v>
      </c>
    </row>
    <row r="65" spans="1:3" x14ac:dyDescent="0.2">
      <c r="A65" s="87" t="s">
        <v>291</v>
      </c>
      <c r="B65" s="74" t="s">
        <v>154</v>
      </c>
      <c r="C65" s="81">
        <f t="shared" si="1"/>
        <v>389.78319999999997</v>
      </c>
    </row>
    <row r="66" spans="1:3" x14ac:dyDescent="0.2">
      <c r="A66" s="87" t="s">
        <v>291</v>
      </c>
      <c r="B66" s="74" t="s">
        <v>154</v>
      </c>
      <c r="C66" s="81">
        <f t="shared" si="1"/>
        <v>389.78319999999997</v>
      </c>
    </row>
    <row r="67" spans="1:3" x14ac:dyDescent="0.2">
      <c r="A67" s="87" t="s">
        <v>291</v>
      </c>
      <c r="B67" s="74" t="s">
        <v>154</v>
      </c>
      <c r="C67" s="81">
        <f t="shared" si="1"/>
        <v>389.78319999999997</v>
      </c>
    </row>
    <row r="68" spans="1:3" x14ac:dyDescent="0.2">
      <c r="A68" s="87" t="s">
        <v>291</v>
      </c>
      <c r="B68" s="74" t="s">
        <v>154</v>
      </c>
      <c r="C68" s="81">
        <f t="shared" si="1"/>
        <v>389.78319999999997</v>
      </c>
    </row>
    <row r="69" spans="1:3" x14ac:dyDescent="0.2">
      <c r="A69" s="87" t="s">
        <v>291</v>
      </c>
      <c r="B69" s="74" t="s">
        <v>154</v>
      </c>
      <c r="C69" s="81">
        <f t="shared" si="1"/>
        <v>389.78319999999997</v>
      </c>
    </row>
    <row r="70" spans="1:3" x14ac:dyDescent="0.2">
      <c r="A70" s="87" t="s">
        <v>291</v>
      </c>
      <c r="B70" s="74" t="s">
        <v>154</v>
      </c>
      <c r="C70" s="81">
        <f t="shared" si="1"/>
        <v>389.78319999999997</v>
      </c>
    </row>
    <row r="71" spans="1:3" x14ac:dyDescent="0.2">
      <c r="A71" s="87" t="s">
        <v>291</v>
      </c>
      <c r="B71" s="74" t="s">
        <v>154</v>
      </c>
      <c r="C71" s="81">
        <f t="shared" si="1"/>
        <v>389.78319999999997</v>
      </c>
    </row>
    <row r="72" spans="1:3" x14ac:dyDescent="0.2">
      <c r="A72" s="87" t="s">
        <v>291</v>
      </c>
      <c r="B72" s="74" t="s">
        <v>154</v>
      </c>
      <c r="C72" s="81">
        <f t="shared" si="1"/>
        <v>389.78319999999997</v>
      </c>
    </row>
    <row r="73" spans="1:3" x14ac:dyDescent="0.2">
      <c r="A73" s="87" t="s">
        <v>291</v>
      </c>
      <c r="B73" s="74" t="s">
        <v>154</v>
      </c>
      <c r="C73" s="81">
        <f t="shared" si="1"/>
        <v>389.78319999999997</v>
      </c>
    </row>
    <row r="74" spans="1:3" x14ac:dyDescent="0.2">
      <c r="A74" s="87" t="s">
        <v>291</v>
      </c>
      <c r="B74" s="74" t="s">
        <v>154</v>
      </c>
      <c r="C74" s="81">
        <f t="shared" si="1"/>
        <v>389.78319999999997</v>
      </c>
    </row>
    <row r="75" spans="1:3" x14ac:dyDescent="0.2">
      <c r="A75" s="87" t="s">
        <v>291</v>
      </c>
      <c r="B75" s="74" t="s">
        <v>154</v>
      </c>
      <c r="C75" s="81">
        <f t="shared" si="1"/>
        <v>389.78319999999997</v>
      </c>
    </row>
    <row r="76" spans="1:3" x14ac:dyDescent="0.2">
      <c r="A76" s="87" t="s">
        <v>291</v>
      </c>
      <c r="B76" s="74" t="s">
        <v>154</v>
      </c>
      <c r="C76" s="81">
        <f t="shared" si="1"/>
        <v>389.78319999999997</v>
      </c>
    </row>
    <row r="77" spans="1:3" x14ac:dyDescent="0.2">
      <c r="A77" s="87" t="s">
        <v>291</v>
      </c>
      <c r="B77" s="74" t="s">
        <v>154</v>
      </c>
      <c r="C77" s="81">
        <f t="shared" si="1"/>
        <v>389.78319999999997</v>
      </c>
    </row>
    <row r="78" spans="1:3" x14ac:dyDescent="0.2">
      <c r="A78" s="87" t="s">
        <v>291</v>
      </c>
      <c r="B78" s="74" t="s">
        <v>154</v>
      </c>
      <c r="C78" s="81">
        <f t="shared" si="1"/>
        <v>389.78319999999997</v>
      </c>
    </row>
    <row r="79" spans="1:3" x14ac:dyDescent="0.2">
      <c r="A79" s="87" t="s">
        <v>291</v>
      </c>
      <c r="B79" s="74" t="s">
        <v>154</v>
      </c>
      <c r="C79" s="81">
        <f t="shared" si="1"/>
        <v>389.78319999999997</v>
      </c>
    </row>
    <row r="80" spans="1:3" x14ac:dyDescent="0.2">
      <c r="A80" s="87" t="s">
        <v>291</v>
      </c>
      <c r="B80" s="74" t="s">
        <v>154</v>
      </c>
      <c r="C80" s="81">
        <f t="shared" si="1"/>
        <v>389.78319999999997</v>
      </c>
    </row>
    <row r="81" spans="1:3" x14ac:dyDescent="0.2">
      <c r="A81" s="87" t="s">
        <v>291</v>
      </c>
      <c r="B81" s="74" t="s">
        <v>154</v>
      </c>
      <c r="C81" s="81">
        <f t="shared" si="1"/>
        <v>389.78319999999997</v>
      </c>
    </row>
    <row r="82" spans="1:3" x14ac:dyDescent="0.2">
      <c r="A82" s="90" t="s">
        <v>291</v>
      </c>
      <c r="B82" s="74" t="s">
        <v>155</v>
      </c>
      <c r="C82" s="81">
        <f t="shared" ref="C82:C113" si="2">2950*1.16</f>
        <v>3421.9999999999995</v>
      </c>
    </row>
    <row r="83" spans="1:3" x14ac:dyDescent="0.2">
      <c r="A83" s="90" t="s">
        <v>291</v>
      </c>
      <c r="B83" s="74" t="s">
        <v>155</v>
      </c>
      <c r="C83" s="81">
        <f t="shared" si="2"/>
        <v>3421.9999999999995</v>
      </c>
    </row>
    <row r="84" spans="1:3" x14ac:dyDescent="0.2">
      <c r="A84" s="90" t="s">
        <v>291</v>
      </c>
      <c r="B84" s="74" t="s">
        <v>155</v>
      </c>
      <c r="C84" s="81">
        <f t="shared" si="2"/>
        <v>3421.9999999999995</v>
      </c>
    </row>
    <row r="85" spans="1:3" x14ac:dyDescent="0.2">
      <c r="A85" s="90" t="s">
        <v>291</v>
      </c>
      <c r="B85" s="74" t="s">
        <v>155</v>
      </c>
      <c r="C85" s="81">
        <f t="shared" si="2"/>
        <v>3421.9999999999995</v>
      </c>
    </row>
    <row r="86" spans="1:3" x14ac:dyDescent="0.2">
      <c r="A86" s="90" t="s">
        <v>291</v>
      </c>
      <c r="B86" s="74" t="s">
        <v>155</v>
      </c>
      <c r="C86" s="81">
        <f t="shared" si="2"/>
        <v>3421.9999999999995</v>
      </c>
    </row>
    <row r="87" spans="1:3" ht="25.5" x14ac:dyDescent="0.2">
      <c r="A87" s="90" t="s">
        <v>291</v>
      </c>
      <c r="B87" s="74" t="s">
        <v>156</v>
      </c>
      <c r="C87" s="81">
        <f t="shared" si="2"/>
        <v>3421.9999999999995</v>
      </c>
    </row>
    <row r="88" spans="1:3" ht="25.5" x14ac:dyDescent="0.2">
      <c r="A88" s="90" t="s">
        <v>291</v>
      </c>
      <c r="B88" s="74" t="s">
        <v>156</v>
      </c>
      <c r="C88" s="81">
        <f t="shared" si="2"/>
        <v>3421.9999999999995</v>
      </c>
    </row>
    <row r="89" spans="1:3" ht="25.5" x14ac:dyDescent="0.2">
      <c r="A89" s="87" t="s">
        <v>291</v>
      </c>
      <c r="B89" s="74" t="s">
        <v>156</v>
      </c>
      <c r="C89" s="81">
        <f t="shared" si="2"/>
        <v>3421.9999999999995</v>
      </c>
    </row>
    <row r="90" spans="1:3" ht="25.5" x14ac:dyDescent="0.2">
      <c r="A90" s="87" t="s">
        <v>291</v>
      </c>
      <c r="B90" s="74" t="s">
        <v>156</v>
      </c>
      <c r="C90" s="81">
        <f t="shared" si="2"/>
        <v>3421.9999999999995</v>
      </c>
    </row>
    <row r="91" spans="1:3" ht="25.5" x14ac:dyDescent="0.2">
      <c r="A91" s="87" t="s">
        <v>291</v>
      </c>
      <c r="B91" s="74" t="s">
        <v>156</v>
      </c>
      <c r="C91" s="81">
        <f t="shared" si="2"/>
        <v>3421.9999999999995</v>
      </c>
    </row>
    <row r="92" spans="1:3" ht="25.5" x14ac:dyDescent="0.2">
      <c r="A92" s="87" t="s">
        <v>291</v>
      </c>
      <c r="B92" s="74" t="s">
        <v>156</v>
      </c>
      <c r="C92" s="81">
        <f t="shared" si="2"/>
        <v>3421.9999999999995</v>
      </c>
    </row>
    <row r="93" spans="1:3" ht="25.5" x14ac:dyDescent="0.2">
      <c r="A93" s="87" t="s">
        <v>291</v>
      </c>
      <c r="B93" s="74" t="s">
        <v>156</v>
      </c>
      <c r="C93" s="81">
        <f t="shared" si="2"/>
        <v>3421.9999999999995</v>
      </c>
    </row>
    <row r="94" spans="1:3" ht="25.5" x14ac:dyDescent="0.2">
      <c r="A94" s="87" t="s">
        <v>291</v>
      </c>
      <c r="B94" s="74" t="s">
        <v>156</v>
      </c>
      <c r="C94" s="81">
        <f t="shared" si="2"/>
        <v>3421.9999999999995</v>
      </c>
    </row>
    <row r="95" spans="1:3" ht="25.5" x14ac:dyDescent="0.2">
      <c r="A95" s="87" t="s">
        <v>291</v>
      </c>
      <c r="B95" s="74" t="s">
        <v>156</v>
      </c>
      <c r="C95" s="81">
        <f t="shared" si="2"/>
        <v>3421.9999999999995</v>
      </c>
    </row>
    <row r="96" spans="1:3" ht="25.5" x14ac:dyDescent="0.2">
      <c r="A96" s="87" t="s">
        <v>291</v>
      </c>
      <c r="B96" s="74" t="s">
        <v>156</v>
      </c>
      <c r="C96" s="81">
        <f t="shared" si="2"/>
        <v>3421.9999999999995</v>
      </c>
    </row>
    <row r="97" spans="1:3" ht="25.5" x14ac:dyDescent="0.2">
      <c r="A97" s="87" t="s">
        <v>291</v>
      </c>
      <c r="B97" s="74" t="s">
        <v>156</v>
      </c>
      <c r="C97" s="81">
        <f t="shared" si="2"/>
        <v>3421.9999999999995</v>
      </c>
    </row>
    <row r="98" spans="1:3" ht="25.5" x14ac:dyDescent="0.2">
      <c r="A98" s="87" t="s">
        <v>291</v>
      </c>
      <c r="B98" s="74" t="s">
        <v>156</v>
      </c>
      <c r="C98" s="81">
        <f t="shared" si="2"/>
        <v>3421.9999999999995</v>
      </c>
    </row>
    <row r="99" spans="1:3" ht="25.5" x14ac:dyDescent="0.2">
      <c r="A99" s="87" t="s">
        <v>291</v>
      </c>
      <c r="B99" s="74" t="s">
        <v>156</v>
      </c>
      <c r="C99" s="81">
        <f t="shared" si="2"/>
        <v>3421.9999999999995</v>
      </c>
    </row>
    <row r="100" spans="1:3" ht="25.5" x14ac:dyDescent="0.2">
      <c r="A100" s="87" t="s">
        <v>291</v>
      </c>
      <c r="B100" s="74" t="s">
        <v>156</v>
      </c>
      <c r="C100" s="81">
        <f t="shared" si="2"/>
        <v>3421.9999999999995</v>
      </c>
    </row>
    <row r="101" spans="1:3" ht="25.5" x14ac:dyDescent="0.2">
      <c r="A101" s="87" t="s">
        <v>291</v>
      </c>
      <c r="B101" s="74" t="s">
        <v>156</v>
      </c>
      <c r="C101" s="81">
        <f t="shared" si="2"/>
        <v>3421.9999999999995</v>
      </c>
    </row>
    <row r="102" spans="1:3" ht="25.5" x14ac:dyDescent="0.2">
      <c r="A102" s="87" t="s">
        <v>291</v>
      </c>
      <c r="B102" s="74" t="s">
        <v>156</v>
      </c>
      <c r="C102" s="81">
        <f t="shared" si="2"/>
        <v>3421.9999999999995</v>
      </c>
    </row>
    <row r="103" spans="1:3" ht="25.5" x14ac:dyDescent="0.2">
      <c r="A103" s="87" t="s">
        <v>291</v>
      </c>
      <c r="B103" s="74" t="s">
        <v>156</v>
      </c>
      <c r="C103" s="81">
        <f t="shared" si="2"/>
        <v>3421.9999999999995</v>
      </c>
    </row>
    <row r="104" spans="1:3" ht="25.5" x14ac:dyDescent="0.2">
      <c r="A104" s="87" t="s">
        <v>291</v>
      </c>
      <c r="B104" s="74" t="s">
        <v>156</v>
      </c>
      <c r="C104" s="81">
        <f t="shared" si="2"/>
        <v>3421.9999999999995</v>
      </c>
    </row>
    <row r="105" spans="1:3" ht="25.5" x14ac:dyDescent="0.2">
      <c r="A105" s="87" t="s">
        <v>291</v>
      </c>
      <c r="B105" s="74" t="s">
        <v>156</v>
      </c>
      <c r="C105" s="81">
        <f t="shared" si="2"/>
        <v>3421.9999999999995</v>
      </c>
    </row>
    <row r="106" spans="1:3" ht="25.5" x14ac:dyDescent="0.2">
      <c r="A106" s="87" t="s">
        <v>291</v>
      </c>
      <c r="B106" s="74" t="s">
        <v>156</v>
      </c>
      <c r="C106" s="81">
        <f t="shared" si="2"/>
        <v>3421.9999999999995</v>
      </c>
    </row>
    <row r="107" spans="1:3" ht="25.5" x14ac:dyDescent="0.2">
      <c r="A107" s="87" t="s">
        <v>291</v>
      </c>
      <c r="B107" s="74" t="s">
        <v>156</v>
      </c>
      <c r="C107" s="81">
        <f t="shared" si="2"/>
        <v>3421.9999999999995</v>
      </c>
    </row>
    <row r="108" spans="1:3" ht="25.5" x14ac:dyDescent="0.2">
      <c r="A108" s="87" t="s">
        <v>291</v>
      </c>
      <c r="B108" s="74" t="s">
        <v>156</v>
      </c>
      <c r="C108" s="81">
        <f t="shared" si="2"/>
        <v>3421.9999999999995</v>
      </c>
    </row>
    <row r="109" spans="1:3" ht="25.5" x14ac:dyDescent="0.2">
      <c r="A109" s="87" t="s">
        <v>291</v>
      </c>
      <c r="B109" s="74" t="s">
        <v>156</v>
      </c>
      <c r="C109" s="81">
        <f t="shared" si="2"/>
        <v>3421.9999999999995</v>
      </c>
    </row>
    <row r="110" spans="1:3" ht="25.5" x14ac:dyDescent="0.2">
      <c r="A110" s="87" t="s">
        <v>291</v>
      </c>
      <c r="B110" s="74" t="s">
        <v>156</v>
      </c>
      <c r="C110" s="81">
        <f t="shared" si="2"/>
        <v>3421.9999999999995</v>
      </c>
    </row>
    <row r="111" spans="1:3" ht="25.5" x14ac:dyDescent="0.2">
      <c r="A111" s="87" t="s">
        <v>291</v>
      </c>
      <c r="B111" s="74" t="s">
        <v>156</v>
      </c>
      <c r="C111" s="81">
        <f t="shared" si="2"/>
        <v>3421.9999999999995</v>
      </c>
    </row>
    <row r="112" spans="1:3" ht="25.5" x14ac:dyDescent="0.2">
      <c r="A112" s="87" t="s">
        <v>291</v>
      </c>
      <c r="B112" s="74" t="s">
        <v>156</v>
      </c>
      <c r="C112" s="81">
        <f t="shared" si="2"/>
        <v>3421.9999999999995</v>
      </c>
    </row>
    <row r="113" spans="1:3" ht="25.5" x14ac:dyDescent="0.2">
      <c r="A113" s="87" t="s">
        <v>291</v>
      </c>
      <c r="B113" s="74" t="s">
        <v>156</v>
      </c>
      <c r="C113" s="81">
        <f t="shared" si="2"/>
        <v>3421.9999999999995</v>
      </c>
    </row>
    <row r="114" spans="1:3" x14ac:dyDescent="0.2">
      <c r="A114" s="87" t="s">
        <v>291</v>
      </c>
      <c r="B114" s="74" t="s">
        <v>157</v>
      </c>
      <c r="C114" s="81">
        <v>455</v>
      </c>
    </row>
    <row r="115" spans="1:3" x14ac:dyDescent="0.2">
      <c r="A115" s="87" t="s">
        <v>291</v>
      </c>
      <c r="B115" s="74" t="s">
        <v>157</v>
      </c>
      <c r="C115" s="81">
        <v>455</v>
      </c>
    </row>
    <row r="116" spans="1:3" x14ac:dyDescent="0.2">
      <c r="A116" s="87" t="s">
        <v>291</v>
      </c>
      <c r="B116" s="74" t="s">
        <v>157</v>
      </c>
      <c r="C116" s="81">
        <v>455</v>
      </c>
    </row>
    <row r="117" spans="1:3" x14ac:dyDescent="0.2">
      <c r="A117" s="87" t="s">
        <v>291</v>
      </c>
      <c r="B117" s="74" t="s">
        <v>157</v>
      </c>
      <c r="C117" s="81">
        <v>455</v>
      </c>
    </row>
    <row r="118" spans="1:3" x14ac:dyDescent="0.2">
      <c r="A118" s="87" t="s">
        <v>291</v>
      </c>
      <c r="B118" s="74" t="s">
        <v>157</v>
      </c>
      <c r="C118" s="81">
        <v>455</v>
      </c>
    </row>
    <row r="119" spans="1:3" x14ac:dyDescent="0.2">
      <c r="A119" s="87" t="s">
        <v>291</v>
      </c>
      <c r="B119" s="74" t="s">
        <v>157</v>
      </c>
      <c r="C119" s="81">
        <v>455</v>
      </c>
    </row>
    <row r="120" spans="1:3" x14ac:dyDescent="0.2">
      <c r="A120" s="87" t="s">
        <v>291</v>
      </c>
      <c r="B120" s="74" t="s">
        <v>157</v>
      </c>
      <c r="C120" s="81">
        <v>455</v>
      </c>
    </row>
    <row r="121" spans="1:3" x14ac:dyDescent="0.2">
      <c r="A121" s="87" t="s">
        <v>291</v>
      </c>
      <c r="B121" s="74" t="s">
        <v>157</v>
      </c>
      <c r="C121" s="81">
        <v>455</v>
      </c>
    </row>
    <row r="122" spans="1:3" x14ac:dyDescent="0.2">
      <c r="A122" s="87" t="s">
        <v>291</v>
      </c>
      <c r="B122" s="74" t="s">
        <v>157</v>
      </c>
      <c r="C122" s="81">
        <v>292.55</v>
      </c>
    </row>
    <row r="123" spans="1:3" x14ac:dyDescent="0.2">
      <c r="A123" s="87" t="s">
        <v>291</v>
      </c>
      <c r="B123" s="74" t="s">
        <v>157</v>
      </c>
      <c r="C123" s="81">
        <v>292.55</v>
      </c>
    </row>
    <row r="124" spans="1:3" x14ac:dyDescent="0.2">
      <c r="A124" s="87" t="s">
        <v>291</v>
      </c>
      <c r="B124" s="74" t="s">
        <v>157</v>
      </c>
      <c r="C124" s="81">
        <v>292.55</v>
      </c>
    </row>
    <row r="125" spans="1:3" x14ac:dyDescent="0.2">
      <c r="A125" s="87" t="s">
        <v>291</v>
      </c>
      <c r="B125" s="74" t="s">
        <v>157</v>
      </c>
      <c r="C125" s="81">
        <v>292.55</v>
      </c>
    </row>
    <row r="126" spans="1:3" x14ac:dyDescent="0.2">
      <c r="A126" s="87" t="s">
        <v>291</v>
      </c>
      <c r="B126" s="74" t="s">
        <v>157</v>
      </c>
      <c r="C126" s="81">
        <v>292.55</v>
      </c>
    </row>
    <row r="127" spans="1:3" x14ac:dyDescent="0.2">
      <c r="A127" s="87" t="s">
        <v>291</v>
      </c>
      <c r="B127" s="74" t="s">
        <v>157</v>
      </c>
      <c r="C127" s="81">
        <v>292.55</v>
      </c>
    </row>
    <row r="128" spans="1:3" x14ac:dyDescent="0.2">
      <c r="A128" s="87" t="s">
        <v>291</v>
      </c>
      <c r="B128" s="74" t="s">
        <v>157</v>
      </c>
      <c r="C128" s="81">
        <v>292.55</v>
      </c>
    </row>
    <row r="129" spans="1:3" x14ac:dyDescent="0.2">
      <c r="A129" s="87" t="s">
        <v>291</v>
      </c>
      <c r="B129" s="74" t="s">
        <v>157</v>
      </c>
      <c r="C129" s="81">
        <v>307.05</v>
      </c>
    </row>
    <row r="130" spans="1:3" x14ac:dyDescent="0.2">
      <c r="A130" s="87" t="s">
        <v>291</v>
      </c>
      <c r="B130" s="74" t="s">
        <v>157</v>
      </c>
      <c r="C130" s="81">
        <v>307.05</v>
      </c>
    </row>
    <row r="131" spans="1:3" x14ac:dyDescent="0.2">
      <c r="A131" s="87" t="s">
        <v>291</v>
      </c>
      <c r="B131" s="74" t="s">
        <v>157</v>
      </c>
      <c r="C131" s="81">
        <v>307.05</v>
      </c>
    </row>
    <row r="132" spans="1:3" x14ac:dyDescent="0.2">
      <c r="A132" s="87" t="s">
        <v>291</v>
      </c>
      <c r="B132" s="74" t="s">
        <v>157</v>
      </c>
      <c r="C132" s="81">
        <v>307.05</v>
      </c>
    </row>
    <row r="133" spans="1:3" x14ac:dyDescent="0.2">
      <c r="A133" s="87" t="s">
        <v>291</v>
      </c>
      <c r="B133" s="74" t="s">
        <v>157</v>
      </c>
      <c r="C133" s="81">
        <v>307.04000000000002</v>
      </c>
    </row>
    <row r="134" spans="1:3" x14ac:dyDescent="0.2">
      <c r="A134" s="87" t="s">
        <v>291</v>
      </c>
      <c r="B134" s="74" t="s">
        <v>157</v>
      </c>
      <c r="C134" s="81">
        <v>307.05</v>
      </c>
    </row>
    <row r="135" spans="1:3" x14ac:dyDescent="0.2">
      <c r="A135" s="87" t="s">
        <v>291</v>
      </c>
      <c r="B135" s="74" t="s">
        <v>158</v>
      </c>
      <c r="C135" s="81">
        <v>736</v>
      </c>
    </row>
    <row r="136" spans="1:3" x14ac:dyDescent="0.2">
      <c r="A136" s="87" t="s">
        <v>291</v>
      </c>
      <c r="B136" s="74" t="s">
        <v>158</v>
      </c>
      <c r="C136" s="81">
        <v>736</v>
      </c>
    </row>
    <row r="137" spans="1:3" x14ac:dyDescent="0.2">
      <c r="A137" s="87" t="s">
        <v>291</v>
      </c>
      <c r="B137" s="74" t="s">
        <v>158</v>
      </c>
      <c r="C137" s="81">
        <v>736</v>
      </c>
    </row>
    <row r="138" spans="1:3" x14ac:dyDescent="0.2">
      <c r="A138" s="87" t="s">
        <v>291</v>
      </c>
      <c r="B138" s="74" t="s">
        <v>158</v>
      </c>
      <c r="C138" s="81">
        <v>736</v>
      </c>
    </row>
    <row r="139" spans="1:3" x14ac:dyDescent="0.2">
      <c r="A139" s="87" t="s">
        <v>291</v>
      </c>
      <c r="B139" s="74" t="s">
        <v>158</v>
      </c>
      <c r="C139" s="81">
        <v>736</v>
      </c>
    </row>
    <row r="140" spans="1:3" x14ac:dyDescent="0.2">
      <c r="A140" s="87" t="s">
        <v>291</v>
      </c>
      <c r="B140" s="74" t="s">
        <v>158</v>
      </c>
      <c r="C140" s="81">
        <v>736</v>
      </c>
    </row>
    <row r="141" spans="1:3" x14ac:dyDescent="0.2">
      <c r="A141" s="87" t="s">
        <v>291</v>
      </c>
      <c r="B141" s="74" t="s">
        <v>158</v>
      </c>
      <c r="C141" s="81">
        <v>736</v>
      </c>
    </row>
    <row r="142" spans="1:3" x14ac:dyDescent="0.2">
      <c r="A142" s="87" t="s">
        <v>291</v>
      </c>
      <c r="B142" s="74" t="s">
        <v>158</v>
      </c>
      <c r="C142" s="81">
        <v>736</v>
      </c>
    </row>
    <row r="143" spans="1:3" x14ac:dyDescent="0.2">
      <c r="A143" s="87" t="s">
        <v>291</v>
      </c>
      <c r="B143" s="74" t="s">
        <v>158</v>
      </c>
      <c r="C143" s="81">
        <v>736</v>
      </c>
    </row>
    <row r="144" spans="1:3" x14ac:dyDescent="0.2">
      <c r="A144" s="87" t="s">
        <v>291</v>
      </c>
      <c r="B144" s="74" t="s">
        <v>158</v>
      </c>
      <c r="C144" s="81">
        <v>736</v>
      </c>
    </row>
    <row r="145" spans="1:3" x14ac:dyDescent="0.2">
      <c r="A145" s="87" t="s">
        <v>291</v>
      </c>
      <c r="B145" s="74" t="s">
        <v>158</v>
      </c>
      <c r="C145" s="81">
        <v>736</v>
      </c>
    </row>
    <row r="146" spans="1:3" x14ac:dyDescent="0.2">
      <c r="A146" s="87" t="s">
        <v>291</v>
      </c>
      <c r="B146" s="74" t="s">
        <v>158</v>
      </c>
      <c r="C146" s="81">
        <v>736</v>
      </c>
    </row>
    <row r="147" spans="1:3" x14ac:dyDescent="0.2">
      <c r="A147" s="87" t="s">
        <v>291</v>
      </c>
      <c r="B147" s="74" t="s">
        <v>158</v>
      </c>
      <c r="C147" s="81">
        <v>736</v>
      </c>
    </row>
    <row r="148" spans="1:3" x14ac:dyDescent="0.2">
      <c r="A148" s="87" t="s">
        <v>291</v>
      </c>
      <c r="B148" s="74" t="s">
        <v>158</v>
      </c>
      <c r="C148" s="81">
        <v>736</v>
      </c>
    </row>
    <row r="149" spans="1:3" x14ac:dyDescent="0.2">
      <c r="A149" s="87" t="s">
        <v>291</v>
      </c>
      <c r="B149" s="74" t="s">
        <v>158</v>
      </c>
      <c r="C149" s="81">
        <v>736</v>
      </c>
    </row>
    <row r="150" spans="1:3" x14ac:dyDescent="0.2">
      <c r="A150" s="87" t="s">
        <v>291</v>
      </c>
      <c r="B150" s="74" t="s">
        <v>158</v>
      </c>
      <c r="C150" s="81">
        <v>736</v>
      </c>
    </row>
    <row r="151" spans="1:3" x14ac:dyDescent="0.2">
      <c r="A151" s="87" t="s">
        <v>291</v>
      </c>
      <c r="B151" s="74" t="s">
        <v>158</v>
      </c>
      <c r="C151" s="81">
        <v>736</v>
      </c>
    </row>
    <row r="152" spans="1:3" x14ac:dyDescent="0.2">
      <c r="A152" s="87" t="s">
        <v>291</v>
      </c>
      <c r="B152" s="74" t="s">
        <v>158</v>
      </c>
      <c r="C152" s="81">
        <v>736</v>
      </c>
    </row>
    <row r="153" spans="1:3" x14ac:dyDescent="0.2">
      <c r="A153" s="87" t="s">
        <v>291</v>
      </c>
      <c r="B153" s="74" t="s">
        <v>158</v>
      </c>
      <c r="C153" s="81">
        <v>736</v>
      </c>
    </row>
    <row r="154" spans="1:3" x14ac:dyDescent="0.2">
      <c r="A154" s="87" t="s">
        <v>291</v>
      </c>
      <c r="B154" s="74" t="s">
        <v>158</v>
      </c>
      <c r="C154" s="81">
        <v>736</v>
      </c>
    </row>
    <row r="155" spans="1:3" x14ac:dyDescent="0.2">
      <c r="A155" s="87" t="s">
        <v>291</v>
      </c>
      <c r="B155" s="74" t="s">
        <v>158</v>
      </c>
      <c r="C155" s="81">
        <v>736</v>
      </c>
    </row>
    <row r="156" spans="1:3" x14ac:dyDescent="0.2">
      <c r="A156" s="87" t="s">
        <v>291</v>
      </c>
      <c r="B156" s="74" t="s">
        <v>158</v>
      </c>
      <c r="C156" s="81">
        <v>736</v>
      </c>
    </row>
    <row r="157" spans="1:3" x14ac:dyDescent="0.2">
      <c r="A157" s="87" t="s">
        <v>291</v>
      </c>
      <c r="B157" s="74" t="s">
        <v>158</v>
      </c>
      <c r="C157" s="81">
        <v>736</v>
      </c>
    </row>
    <row r="158" spans="1:3" x14ac:dyDescent="0.2">
      <c r="A158" s="87" t="s">
        <v>291</v>
      </c>
      <c r="B158" s="74" t="s">
        <v>158</v>
      </c>
      <c r="C158" s="81">
        <v>736</v>
      </c>
    </row>
    <row r="159" spans="1:3" x14ac:dyDescent="0.2">
      <c r="A159" s="87" t="s">
        <v>291</v>
      </c>
      <c r="B159" s="74" t="s">
        <v>158</v>
      </c>
      <c r="C159" s="81">
        <v>736</v>
      </c>
    </row>
    <row r="160" spans="1:3" x14ac:dyDescent="0.2">
      <c r="A160" s="87" t="s">
        <v>291</v>
      </c>
      <c r="B160" s="74" t="s">
        <v>158</v>
      </c>
      <c r="C160" s="81">
        <v>736</v>
      </c>
    </row>
    <row r="161" spans="1:3" x14ac:dyDescent="0.2">
      <c r="A161" s="87" t="s">
        <v>291</v>
      </c>
      <c r="B161" s="74" t="s">
        <v>158</v>
      </c>
      <c r="C161" s="81">
        <v>736</v>
      </c>
    </row>
    <row r="162" spans="1:3" x14ac:dyDescent="0.2">
      <c r="A162" s="87" t="s">
        <v>291</v>
      </c>
      <c r="B162" s="74" t="s">
        <v>158</v>
      </c>
      <c r="C162" s="81">
        <v>736</v>
      </c>
    </row>
    <row r="163" spans="1:3" x14ac:dyDescent="0.2">
      <c r="A163" s="87" t="s">
        <v>291</v>
      </c>
      <c r="B163" s="74" t="s">
        <v>158</v>
      </c>
      <c r="C163" s="81">
        <v>736</v>
      </c>
    </row>
    <row r="164" spans="1:3" x14ac:dyDescent="0.2">
      <c r="A164" s="87" t="s">
        <v>291</v>
      </c>
      <c r="B164" s="74" t="s">
        <v>158</v>
      </c>
      <c r="C164" s="81">
        <v>736</v>
      </c>
    </row>
    <row r="165" spans="1:3" x14ac:dyDescent="0.2">
      <c r="A165" s="87" t="s">
        <v>291</v>
      </c>
      <c r="B165" s="74" t="s">
        <v>158</v>
      </c>
      <c r="C165" s="81">
        <v>736</v>
      </c>
    </row>
    <row r="166" spans="1:3" x14ac:dyDescent="0.2">
      <c r="A166" s="87" t="s">
        <v>291</v>
      </c>
      <c r="B166" s="74" t="s">
        <v>158</v>
      </c>
      <c r="C166" s="81">
        <v>736</v>
      </c>
    </row>
    <row r="167" spans="1:3" x14ac:dyDescent="0.2">
      <c r="A167" s="87" t="s">
        <v>291</v>
      </c>
      <c r="B167" s="74" t="s">
        <v>158</v>
      </c>
      <c r="C167" s="81">
        <v>736</v>
      </c>
    </row>
    <row r="168" spans="1:3" x14ac:dyDescent="0.2">
      <c r="A168" s="87" t="s">
        <v>291</v>
      </c>
      <c r="B168" s="74" t="s">
        <v>158</v>
      </c>
      <c r="C168" s="81">
        <v>736</v>
      </c>
    </row>
    <row r="169" spans="1:3" x14ac:dyDescent="0.2">
      <c r="A169" s="87" t="s">
        <v>291</v>
      </c>
      <c r="B169" s="74" t="s">
        <v>158</v>
      </c>
      <c r="C169" s="81">
        <v>736</v>
      </c>
    </row>
    <row r="170" spans="1:3" x14ac:dyDescent="0.2">
      <c r="A170" s="87" t="s">
        <v>291</v>
      </c>
      <c r="B170" s="74" t="s">
        <v>158</v>
      </c>
      <c r="C170" s="81">
        <v>736</v>
      </c>
    </row>
    <row r="171" spans="1:3" x14ac:dyDescent="0.2">
      <c r="A171" s="87" t="s">
        <v>291</v>
      </c>
      <c r="B171" s="74" t="s">
        <v>158</v>
      </c>
      <c r="C171" s="81">
        <v>736</v>
      </c>
    </row>
    <row r="172" spans="1:3" x14ac:dyDescent="0.2">
      <c r="A172" s="87" t="s">
        <v>291</v>
      </c>
      <c r="B172" s="74" t="s">
        <v>158</v>
      </c>
      <c r="C172" s="81">
        <v>736</v>
      </c>
    </row>
    <row r="173" spans="1:3" x14ac:dyDescent="0.2">
      <c r="A173" s="87" t="s">
        <v>291</v>
      </c>
      <c r="B173" s="74" t="s">
        <v>158</v>
      </c>
      <c r="C173" s="81">
        <v>736</v>
      </c>
    </row>
    <row r="174" spans="1:3" x14ac:dyDescent="0.2">
      <c r="A174" s="87" t="s">
        <v>291</v>
      </c>
      <c r="B174" s="74" t="s">
        <v>158</v>
      </c>
      <c r="C174" s="81">
        <v>736</v>
      </c>
    </row>
    <row r="175" spans="1:3" x14ac:dyDescent="0.2">
      <c r="A175" s="87" t="s">
        <v>291</v>
      </c>
      <c r="B175" s="74" t="s">
        <v>158</v>
      </c>
      <c r="C175" s="81">
        <v>736</v>
      </c>
    </row>
    <row r="176" spans="1:3" x14ac:dyDescent="0.2">
      <c r="A176" s="87" t="s">
        <v>291</v>
      </c>
      <c r="B176" s="74" t="s">
        <v>158</v>
      </c>
      <c r="C176" s="81">
        <v>736</v>
      </c>
    </row>
    <row r="177" spans="1:3" x14ac:dyDescent="0.2">
      <c r="A177" s="87" t="s">
        <v>291</v>
      </c>
      <c r="B177" s="74" t="s">
        <v>158</v>
      </c>
      <c r="C177" s="81">
        <v>736</v>
      </c>
    </row>
    <row r="178" spans="1:3" x14ac:dyDescent="0.2">
      <c r="A178" s="87" t="s">
        <v>291</v>
      </c>
      <c r="B178" s="74" t="s">
        <v>159</v>
      </c>
      <c r="C178" s="81">
        <v>736</v>
      </c>
    </row>
    <row r="179" spans="1:3" x14ac:dyDescent="0.2">
      <c r="A179" s="87" t="s">
        <v>291</v>
      </c>
      <c r="B179" s="74" t="s">
        <v>160</v>
      </c>
      <c r="C179" s="81">
        <v>905</v>
      </c>
    </row>
    <row r="180" spans="1:3" x14ac:dyDescent="0.2">
      <c r="A180" s="87" t="s">
        <v>291</v>
      </c>
      <c r="B180" s="74" t="s">
        <v>160</v>
      </c>
      <c r="C180" s="81">
        <v>905</v>
      </c>
    </row>
    <row r="181" spans="1:3" x14ac:dyDescent="0.2">
      <c r="A181" s="87" t="s">
        <v>291</v>
      </c>
      <c r="B181" s="74" t="s">
        <v>160</v>
      </c>
      <c r="C181" s="81">
        <v>905</v>
      </c>
    </row>
    <row r="182" spans="1:3" x14ac:dyDescent="0.2">
      <c r="A182" s="87" t="s">
        <v>291</v>
      </c>
      <c r="B182" s="74" t="s">
        <v>160</v>
      </c>
      <c r="C182" s="81">
        <v>905</v>
      </c>
    </row>
    <row r="183" spans="1:3" x14ac:dyDescent="0.2">
      <c r="A183" s="87" t="s">
        <v>291</v>
      </c>
      <c r="B183" s="74" t="s">
        <v>160</v>
      </c>
      <c r="C183" s="81">
        <v>905</v>
      </c>
    </row>
    <row r="184" spans="1:3" x14ac:dyDescent="0.2">
      <c r="A184" s="87" t="s">
        <v>291</v>
      </c>
      <c r="B184" s="74" t="s">
        <v>160</v>
      </c>
      <c r="C184" s="81">
        <v>905</v>
      </c>
    </row>
    <row r="185" spans="1:3" x14ac:dyDescent="0.2">
      <c r="A185" s="87" t="s">
        <v>291</v>
      </c>
      <c r="B185" s="74" t="s">
        <v>160</v>
      </c>
      <c r="C185" s="81">
        <v>905</v>
      </c>
    </row>
    <row r="186" spans="1:3" x14ac:dyDescent="0.2">
      <c r="A186" s="87" t="s">
        <v>291</v>
      </c>
      <c r="B186" s="74" t="s">
        <v>160</v>
      </c>
      <c r="C186" s="81">
        <v>905</v>
      </c>
    </row>
    <row r="187" spans="1:3" x14ac:dyDescent="0.2">
      <c r="A187" s="87" t="s">
        <v>291</v>
      </c>
      <c r="B187" s="74" t="s">
        <v>160</v>
      </c>
      <c r="C187" s="81">
        <v>905</v>
      </c>
    </row>
    <row r="188" spans="1:3" x14ac:dyDescent="0.2">
      <c r="A188" s="87" t="s">
        <v>291</v>
      </c>
      <c r="B188" s="74" t="s">
        <v>161</v>
      </c>
      <c r="C188" s="81">
        <v>1200</v>
      </c>
    </row>
    <row r="189" spans="1:3" x14ac:dyDescent="0.2">
      <c r="A189" s="87" t="s">
        <v>291</v>
      </c>
      <c r="B189" s="74" t="s">
        <v>161</v>
      </c>
      <c r="C189" s="81">
        <v>1200</v>
      </c>
    </row>
    <row r="190" spans="1:3" x14ac:dyDescent="0.2">
      <c r="A190" s="87" t="s">
        <v>291</v>
      </c>
      <c r="B190" s="74" t="s">
        <v>161</v>
      </c>
      <c r="C190" s="81">
        <v>1200</v>
      </c>
    </row>
    <row r="191" spans="1:3" x14ac:dyDescent="0.2">
      <c r="A191" s="87" t="s">
        <v>291</v>
      </c>
      <c r="B191" s="74" t="s">
        <v>161</v>
      </c>
      <c r="C191" s="81">
        <v>1200</v>
      </c>
    </row>
    <row r="192" spans="1:3" x14ac:dyDescent="0.2">
      <c r="A192" s="87" t="s">
        <v>291</v>
      </c>
      <c r="B192" s="74" t="s">
        <v>161</v>
      </c>
      <c r="C192" s="81">
        <v>1200</v>
      </c>
    </row>
    <row r="193" spans="1:3" x14ac:dyDescent="0.2">
      <c r="A193" s="87" t="s">
        <v>291</v>
      </c>
      <c r="B193" s="74" t="s">
        <v>161</v>
      </c>
      <c r="C193" s="81">
        <v>1200</v>
      </c>
    </row>
    <row r="194" spans="1:3" x14ac:dyDescent="0.2">
      <c r="A194" s="87" t="s">
        <v>291</v>
      </c>
      <c r="B194" s="74" t="s">
        <v>161</v>
      </c>
      <c r="C194" s="81">
        <v>1200</v>
      </c>
    </row>
    <row r="195" spans="1:3" x14ac:dyDescent="0.2">
      <c r="A195" s="87" t="s">
        <v>291</v>
      </c>
      <c r="B195" s="74" t="s">
        <v>161</v>
      </c>
      <c r="C195" s="81">
        <v>1200</v>
      </c>
    </row>
    <row r="196" spans="1:3" x14ac:dyDescent="0.2">
      <c r="A196" s="87" t="s">
        <v>291</v>
      </c>
      <c r="B196" s="74" t="s">
        <v>161</v>
      </c>
      <c r="C196" s="81">
        <v>1200</v>
      </c>
    </row>
    <row r="197" spans="1:3" x14ac:dyDescent="0.2">
      <c r="A197" s="87" t="s">
        <v>291</v>
      </c>
      <c r="B197" s="74" t="s">
        <v>161</v>
      </c>
      <c r="C197" s="81">
        <v>1200</v>
      </c>
    </row>
    <row r="198" spans="1:3" x14ac:dyDescent="0.2">
      <c r="A198" s="87" t="s">
        <v>291</v>
      </c>
      <c r="B198" s="74" t="s">
        <v>161</v>
      </c>
      <c r="C198" s="81">
        <v>1200</v>
      </c>
    </row>
    <row r="199" spans="1:3" x14ac:dyDescent="0.2">
      <c r="A199" s="87" t="s">
        <v>291</v>
      </c>
      <c r="B199" s="74" t="s">
        <v>161</v>
      </c>
      <c r="C199" s="81">
        <v>1040.43</v>
      </c>
    </row>
    <row r="200" spans="1:3" x14ac:dyDescent="0.2">
      <c r="A200" s="87" t="s">
        <v>291</v>
      </c>
      <c r="B200" s="74" t="s">
        <v>161</v>
      </c>
      <c r="C200" s="81">
        <v>1138</v>
      </c>
    </row>
    <row r="201" spans="1:3" x14ac:dyDescent="0.2">
      <c r="A201" s="87" t="s">
        <v>291</v>
      </c>
      <c r="B201" s="74" t="s">
        <v>161</v>
      </c>
      <c r="C201" s="81">
        <v>1138</v>
      </c>
    </row>
    <row r="202" spans="1:3" x14ac:dyDescent="0.2">
      <c r="A202" s="87" t="s">
        <v>291</v>
      </c>
      <c r="B202" s="74" t="s">
        <v>161</v>
      </c>
      <c r="C202" s="81">
        <v>1138</v>
      </c>
    </row>
    <row r="203" spans="1:3" x14ac:dyDescent="0.2">
      <c r="A203" s="87" t="s">
        <v>291</v>
      </c>
      <c r="B203" s="74" t="s">
        <v>162</v>
      </c>
      <c r="C203" s="81">
        <v>1064</v>
      </c>
    </row>
    <row r="204" spans="1:3" x14ac:dyDescent="0.2">
      <c r="A204" s="87" t="s">
        <v>291</v>
      </c>
      <c r="B204" s="74" t="s">
        <v>162</v>
      </c>
      <c r="C204" s="81">
        <v>747</v>
      </c>
    </row>
    <row r="205" spans="1:3" x14ac:dyDescent="0.2">
      <c r="A205" s="87" t="s">
        <v>291</v>
      </c>
      <c r="B205" s="74" t="s">
        <v>162</v>
      </c>
      <c r="C205" s="81">
        <v>747</v>
      </c>
    </row>
    <row r="206" spans="1:3" x14ac:dyDescent="0.2">
      <c r="A206" s="87" t="s">
        <v>291</v>
      </c>
      <c r="B206" s="74" t="s">
        <v>162</v>
      </c>
      <c r="C206" s="81">
        <v>747</v>
      </c>
    </row>
    <row r="207" spans="1:3" x14ac:dyDescent="0.2">
      <c r="A207" s="87" t="s">
        <v>291</v>
      </c>
      <c r="B207" s="74" t="s">
        <v>162</v>
      </c>
      <c r="C207" s="81">
        <v>747</v>
      </c>
    </row>
    <row r="208" spans="1:3" x14ac:dyDescent="0.2">
      <c r="A208" s="87" t="s">
        <v>291</v>
      </c>
      <c r="B208" s="74" t="s">
        <v>162</v>
      </c>
      <c r="C208" s="81">
        <v>650.04999999999995</v>
      </c>
    </row>
    <row r="209" spans="1:3" x14ac:dyDescent="0.2">
      <c r="A209" s="87" t="s">
        <v>291</v>
      </c>
      <c r="B209" s="74" t="s">
        <v>162</v>
      </c>
      <c r="C209" s="81">
        <v>650.04999999999995</v>
      </c>
    </row>
    <row r="210" spans="1:3" x14ac:dyDescent="0.2">
      <c r="A210" s="87" t="s">
        <v>291</v>
      </c>
      <c r="B210" s="74" t="s">
        <v>162</v>
      </c>
      <c r="C210" s="81">
        <v>650.04999999999995</v>
      </c>
    </row>
    <row r="211" spans="1:3" x14ac:dyDescent="0.2">
      <c r="A211" s="87" t="s">
        <v>291</v>
      </c>
      <c r="B211" s="74" t="s">
        <v>162</v>
      </c>
      <c r="C211" s="81">
        <v>650.04999999999995</v>
      </c>
    </row>
    <row r="212" spans="1:3" x14ac:dyDescent="0.2">
      <c r="A212" s="87" t="s">
        <v>291</v>
      </c>
      <c r="B212" s="74" t="s">
        <v>162</v>
      </c>
      <c r="C212" s="81">
        <v>650.04999999999995</v>
      </c>
    </row>
    <row r="213" spans="1:3" x14ac:dyDescent="0.2">
      <c r="A213" s="87" t="s">
        <v>291</v>
      </c>
      <c r="B213" s="74" t="s">
        <v>163</v>
      </c>
      <c r="C213" s="81">
        <v>969</v>
      </c>
    </row>
    <row r="214" spans="1:3" x14ac:dyDescent="0.2">
      <c r="A214" s="87" t="s">
        <v>291</v>
      </c>
      <c r="B214" s="74" t="s">
        <v>164</v>
      </c>
      <c r="C214" s="81">
        <v>1179</v>
      </c>
    </row>
    <row r="215" spans="1:3" x14ac:dyDescent="0.2">
      <c r="A215" s="87" t="s">
        <v>291</v>
      </c>
      <c r="B215" s="74" t="s">
        <v>164</v>
      </c>
      <c r="C215" s="81">
        <v>1179</v>
      </c>
    </row>
    <row r="216" spans="1:3" x14ac:dyDescent="0.2">
      <c r="A216" s="87" t="s">
        <v>291</v>
      </c>
      <c r="B216" s="74" t="s">
        <v>164</v>
      </c>
      <c r="C216" s="81">
        <v>1179</v>
      </c>
    </row>
    <row r="217" spans="1:3" x14ac:dyDescent="0.2">
      <c r="A217" s="87" t="s">
        <v>291</v>
      </c>
      <c r="B217" s="74" t="s">
        <v>164</v>
      </c>
      <c r="C217" s="81">
        <v>1179</v>
      </c>
    </row>
    <row r="218" spans="1:3" x14ac:dyDescent="0.2">
      <c r="A218" s="87" t="s">
        <v>291</v>
      </c>
      <c r="B218" s="74" t="s">
        <v>164</v>
      </c>
      <c r="C218" s="81">
        <v>1179</v>
      </c>
    </row>
    <row r="219" spans="1:3" x14ac:dyDescent="0.2">
      <c r="A219" s="87" t="s">
        <v>291</v>
      </c>
      <c r="B219" s="74" t="s">
        <v>164</v>
      </c>
      <c r="C219" s="81">
        <v>1179</v>
      </c>
    </row>
    <row r="220" spans="1:3" x14ac:dyDescent="0.2">
      <c r="A220" s="87" t="s">
        <v>291</v>
      </c>
      <c r="B220" s="74" t="s">
        <v>164</v>
      </c>
      <c r="C220" s="81">
        <v>1179</v>
      </c>
    </row>
    <row r="221" spans="1:3" x14ac:dyDescent="0.2">
      <c r="A221" s="87" t="s">
        <v>291</v>
      </c>
      <c r="B221" s="74" t="s">
        <v>164</v>
      </c>
      <c r="C221" s="81">
        <v>1179</v>
      </c>
    </row>
    <row r="222" spans="1:3" x14ac:dyDescent="0.2">
      <c r="A222" s="87" t="s">
        <v>291</v>
      </c>
      <c r="B222" s="74" t="s">
        <v>164</v>
      </c>
      <c r="C222" s="81">
        <v>1179</v>
      </c>
    </row>
    <row r="223" spans="1:3" x14ac:dyDescent="0.2">
      <c r="A223" s="87" t="s">
        <v>291</v>
      </c>
      <c r="B223" s="74" t="s">
        <v>164</v>
      </c>
      <c r="C223" s="81">
        <v>1179</v>
      </c>
    </row>
    <row r="224" spans="1:3" x14ac:dyDescent="0.2">
      <c r="A224" s="87" t="s">
        <v>291</v>
      </c>
      <c r="B224" s="74" t="s">
        <v>164</v>
      </c>
      <c r="C224" s="81">
        <v>701</v>
      </c>
    </row>
    <row r="225" spans="1:3" x14ac:dyDescent="0.2">
      <c r="A225" s="87" t="s">
        <v>291</v>
      </c>
      <c r="B225" s="74" t="s">
        <v>164</v>
      </c>
      <c r="C225" s="81">
        <v>701</v>
      </c>
    </row>
    <row r="226" spans="1:3" x14ac:dyDescent="0.2">
      <c r="A226" s="87" t="s">
        <v>291</v>
      </c>
      <c r="B226" s="74" t="s">
        <v>164</v>
      </c>
      <c r="C226" s="81">
        <v>701</v>
      </c>
    </row>
    <row r="227" spans="1:3" x14ac:dyDescent="0.2">
      <c r="A227" s="87" t="s">
        <v>291</v>
      </c>
      <c r="B227" s="74" t="s">
        <v>164</v>
      </c>
      <c r="C227" s="81">
        <v>701</v>
      </c>
    </row>
    <row r="228" spans="1:3" x14ac:dyDescent="0.2">
      <c r="A228" s="87" t="s">
        <v>291</v>
      </c>
      <c r="B228" s="74" t="s">
        <v>164</v>
      </c>
      <c r="C228" s="81">
        <v>1179</v>
      </c>
    </row>
    <row r="229" spans="1:3" x14ac:dyDescent="0.2">
      <c r="A229" s="87" t="s">
        <v>291</v>
      </c>
      <c r="B229" s="74" t="s">
        <v>164</v>
      </c>
      <c r="C229" s="81">
        <v>1179</v>
      </c>
    </row>
    <row r="230" spans="1:3" x14ac:dyDescent="0.2">
      <c r="A230" s="87" t="s">
        <v>291</v>
      </c>
      <c r="B230" s="74" t="s">
        <v>164</v>
      </c>
      <c r="C230" s="81">
        <v>1179</v>
      </c>
    </row>
    <row r="231" spans="1:3" x14ac:dyDescent="0.2">
      <c r="A231" s="87" t="s">
        <v>291</v>
      </c>
      <c r="B231" s="74" t="s">
        <v>164</v>
      </c>
      <c r="C231" s="81">
        <v>1179</v>
      </c>
    </row>
    <row r="232" spans="1:3" x14ac:dyDescent="0.2">
      <c r="A232" s="87" t="s">
        <v>291</v>
      </c>
      <c r="B232" s="74" t="s">
        <v>164</v>
      </c>
      <c r="C232" s="81">
        <v>1179</v>
      </c>
    </row>
    <row r="233" spans="1:3" x14ac:dyDescent="0.2">
      <c r="A233" s="87" t="s">
        <v>291</v>
      </c>
      <c r="B233" s="74" t="s">
        <v>164</v>
      </c>
      <c r="C233" s="81">
        <v>1179</v>
      </c>
    </row>
    <row r="234" spans="1:3" x14ac:dyDescent="0.2">
      <c r="A234" s="87" t="s">
        <v>291</v>
      </c>
      <c r="B234" s="74" t="s">
        <v>164</v>
      </c>
      <c r="C234" s="81">
        <v>600</v>
      </c>
    </row>
    <row r="235" spans="1:3" x14ac:dyDescent="0.2">
      <c r="A235" s="87" t="s">
        <v>291</v>
      </c>
      <c r="B235" s="74" t="s">
        <v>164</v>
      </c>
      <c r="C235" s="81">
        <v>701</v>
      </c>
    </row>
    <row r="236" spans="1:3" x14ac:dyDescent="0.2">
      <c r="A236" s="87" t="s">
        <v>291</v>
      </c>
      <c r="B236" s="74" t="s">
        <v>164</v>
      </c>
      <c r="C236" s="81">
        <v>701</v>
      </c>
    </row>
    <row r="237" spans="1:3" x14ac:dyDescent="0.2">
      <c r="A237" s="87" t="s">
        <v>291</v>
      </c>
      <c r="B237" s="74" t="s">
        <v>164</v>
      </c>
      <c r="C237" s="81">
        <v>701</v>
      </c>
    </row>
    <row r="238" spans="1:3" x14ac:dyDescent="0.2">
      <c r="A238" s="87" t="s">
        <v>291</v>
      </c>
      <c r="B238" s="74" t="s">
        <v>164</v>
      </c>
      <c r="C238" s="81">
        <v>701</v>
      </c>
    </row>
    <row r="239" spans="1:3" x14ac:dyDescent="0.2">
      <c r="A239" s="87" t="s">
        <v>291</v>
      </c>
      <c r="B239" s="74" t="s">
        <v>164</v>
      </c>
      <c r="C239" s="81">
        <v>701</v>
      </c>
    </row>
    <row r="240" spans="1:3" x14ac:dyDescent="0.2">
      <c r="A240" s="87" t="s">
        <v>291</v>
      </c>
      <c r="B240" s="74" t="s">
        <v>164</v>
      </c>
      <c r="C240" s="81">
        <v>701</v>
      </c>
    </row>
    <row r="241" spans="1:3" x14ac:dyDescent="0.2">
      <c r="A241" s="87" t="s">
        <v>291</v>
      </c>
      <c r="B241" s="74" t="s">
        <v>165</v>
      </c>
      <c r="C241" s="81">
        <v>278</v>
      </c>
    </row>
    <row r="242" spans="1:3" x14ac:dyDescent="0.2">
      <c r="A242" s="87" t="s">
        <v>291</v>
      </c>
      <c r="B242" s="74" t="s">
        <v>165</v>
      </c>
      <c r="C242" s="81">
        <v>278</v>
      </c>
    </row>
    <row r="243" spans="1:3" x14ac:dyDescent="0.2">
      <c r="A243" s="87" t="s">
        <v>291</v>
      </c>
      <c r="B243" s="74" t="s">
        <v>165</v>
      </c>
      <c r="C243" s="81">
        <v>278</v>
      </c>
    </row>
    <row r="244" spans="1:3" x14ac:dyDescent="0.2">
      <c r="A244" s="87" t="s">
        <v>291</v>
      </c>
      <c r="B244" s="74" t="s">
        <v>165</v>
      </c>
      <c r="C244" s="81">
        <v>278</v>
      </c>
    </row>
    <row r="245" spans="1:3" x14ac:dyDescent="0.2">
      <c r="A245" s="87" t="s">
        <v>291</v>
      </c>
      <c r="B245" s="74" t="s">
        <v>165</v>
      </c>
      <c r="C245" s="81">
        <v>278</v>
      </c>
    </row>
    <row r="246" spans="1:3" x14ac:dyDescent="0.2">
      <c r="A246" s="87" t="s">
        <v>291</v>
      </c>
      <c r="B246" s="74" t="s">
        <v>165</v>
      </c>
      <c r="C246" s="81">
        <v>278</v>
      </c>
    </row>
    <row r="247" spans="1:3" x14ac:dyDescent="0.2">
      <c r="A247" s="87" t="s">
        <v>291</v>
      </c>
      <c r="B247" s="74" t="s">
        <v>165</v>
      </c>
      <c r="C247" s="81">
        <v>235.32</v>
      </c>
    </row>
    <row r="248" spans="1:3" x14ac:dyDescent="0.2">
      <c r="A248" s="87" t="s">
        <v>291</v>
      </c>
      <c r="B248" s="74" t="s">
        <v>165</v>
      </c>
      <c r="C248" s="81">
        <v>235.32</v>
      </c>
    </row>
    <row r="249" spans="1:3" x14ac:dyDescent="0.2">
      <c r="A249" s="87" t="s">
        <v>291</v>
      </c>
      <c r="B249" s="74" t="s">
        <v>165</v>
      </c>
      <c r="C249" s="81">
        <v>235.32</v>
      </c>
    </row>
    <row r="250" spans="1:3" x14ac:dyDescent="0.2">
      <c r="A250" s="87" t="s">
        <v>291</v>
      </c>
      <c r="B250" s="74" t="s">
        <v>165</v>
      </c>
      <c r="C250" s="81">
        <v>235.32</v>
      </c>
    </row>
    <row r="251" spans="1:3" x14ac:dyDescent="0.2">
      <c r="A251" s="87" t="s">
        <v>291</v>
      </c>
      <c r="B251" s="74" t="s">
        <v>165</v>
      </c>
      <c r="C251" s="81">
        <v>235.32</v>
      </c>
    </row>
    <row r="252" spans="1:3" x14ac:dyDescent="0.2">
      <c r="A252" s="87" t="s">
        <v>291</v>
      </c>
      <c r="B252" s="74" t="s">
        <v>165</v>
      </c>
      <c r="C252" s="81">
        <v>235.32</v>
      </c>
    </row>
    <row r="253" spans="1:3" x14ac:dyDescent="0.2">
      <c r="A253" s="87" t="s">
        <v>291</v>
      </c>
      <c r="B253" s="74" t="s">
        <v>165</v>
      </c>
      <c r="C253" s="81">
        <v>235.32</v>
      </c>
    </row>
    <row r="254" spans="1:3" x14ac:dyDescent="0.2">
      <c r="A254" s="87" t="s">
        <v>291</v>
      </c>
      <c r="B254" s="74" t="s">
        <v>165</v>
      </c>
      <c r="C254" s="81">
        <v>235.32</v>
      </c>
    </row>
    <row r="255" spans="1:3" x14ac:dyDescent="0.2">
      <c r="A255" s="87" t="s">
        <v>291</v>
      </c>
      <c r="B255" s="74" t="s">
        <v>165</v>
      </c>
      <c r="C255" s="81">
        <v>235.32</v>
      </c>
    </row>
    <row r="256" spans="1:3" x14ac:dyDescent="0.2">
      <c r="A256" s="87" t="s">
        <v>291</v>
      </c>
      <c r="B256" s="74" t="s">
        <v>165</v>
      </c>
      <c r="C256" s="81">
        <v>235.32</v>
      </c>
    </row>
    <row r="257" spans="1:3" x14ac:dyDescent="0.2">
      <c r="A257" s="87" t="s">
        <v>291</v>
      </c>
      <c r="B257" s="74" t="s">
        <v>165</v>
      </c>
      <c r="C257" s="81">
        <f t="shared" ref="C257:C270" si="3">575*1.15</f>
        <v>661.25</v>
      </c>
    </row>
    <row r="258" spans="1:3" x14ac:dyDescent="0.2">
      <c r="A258" s="87" t="s">
        <v>291</v>
      </c>
      <c r="B258" s="74" t="s">
        <v>165</v>
      </c>
      <c r="C258" s="81">
        <f t="shared" si="3"/>
        <v>661.25</v>
      </c>
    </row>
    <row r="259" spans="1:3" x14ac:dyDescent="0.2">
      <c r="A259" s="87" t="s">
        <v>291</v>
      </c>
      <c r="B259" s="74" t="s">
        <v>165</v>
      </c>
      <c r="C259" s="81">
        <f t="shared" si="3"/>
        <v>661.25</v>
      </c>
    </row>
    <row r="260" spans="1:3" x14ac:dyDescent="0.2">
      <c r="A260" s="87" t="s">
        <v>291</v>
      </c>
      <c r="B260" s="74" t="s">
        <v>165</v>
      </c>
      <c r="C260" s="81">
        <f t="shared" si="3"/>
        <v>661.25</v>
      </c>
    </row>
    <row r="261" spans="1:3" x14ac:dyDescent="0.2">
      <c r="A261" s="87" t="s">
        <v>291</v>
      </c>
      <c r="B261" s="74" t="s">
        <v>165</v>
      </c>
      <c r="C261" s="81">
        <f t="shared" si="3"/>
        <v>661.25</v>
      </c>
    </row>
    <row r="262" spans="1:3" x14ac:dyDescent="0.2">
      <c r="A262" s="87" t="s">
        <v>291</v>
      </c>
      <c r="B262" s="74" t="s">
        <v>165</v>
      </c>
      <c r="C262" s="81">
        <f t="shared" si="3"/>
        <v>661.25</v>
      </c>
    </row>
    <row r="263" spans="1:3" x14ac:dyDescent="0.2">
      <c r="A263" s="87" t="s">
        <v>291</v>
      </c>
      <c r="B263" s="74" t="s">
        <v>165</v>
      </c>
      <c r="C263" s="81">
        <f t="shared" si="3"/>
        <v>661.25</v>
      </c>
    </row>
    <row r="264" spans="1:3" x14ac:dyDescent="0.2">
      <c r="A264" s="87" t="s">
        <v>291</v>
      </c>
      <c r="B264" s="74" t="s">
        <v>165</v>
      </c>
      <c r="C264" s="81">
        <f t="shared" si="3"/>
        <v>661.25</v>
      </c>
    </row>
    <row r="265" spans="1:3" x14ac:dyDescent="0.2">
      <c r="A265" s="87" t="s">
        <v>291</v>
      </c>
      <c r="B265" s="74" t="s">
        <v>165</v>
      </c>
      <c r="C265" s="81">
        <f t="shared" si="3"/>
        <v>661.25</v>
      </c>
    </row>
    <row r="266" spans="1:3" x14ac:dyDescent="0.2">
      <c r="A266" s="87" t="s">
        <v>291</v>
      </c>
      <c r="B266" s="74" t="s">
        <v>165</v>
      </c>
      <c r="C266" s="81">
        <f t="shared" si="3"/>
        <v>661.25</v>
      </c>
    </row>
    <row r="267" spans="1:3" x14ac:dyDescent="0.2">
      <c r="A267" s="87" t="s">
        <v>291</v>
      </c>
      <c r="B267" s="74" t="s">
        <v>165</v>
      </c>
      <c r="C267" s="81">
        <f t="shared" si="3"/>
        <v>661.25</v>
      </c>
    </row>
    <row r="268" spans="1:3" x14ac:dyDescent="0.2">
      <c r="A268" s="87" t="s">
        <v>291</v>
      </c>
      <c r="B268" s="74" t="s">
        <v>165</v>
      </c>
      <c r="C268" s="81">
        <f t="shared" si="3"/>
        <v>661.25</v>
      </c>
    </row>
    <row r="269" spans="1:3" x14ac:dyDescent="0.2">
      <c r="A269" s="87" t="s">
        <v>291</v>
      </c>
      <c r="B269" s="74" t="s">
        <v>165</v>
      </c>
      <c r="C269" s="81">
        <f t="shared" si="3"/>
        <v>661.25</v>
      </c>
    </row>
    <row r="270" spans="1:3" x14ac:dyDescent="0.2">
      <c r="A270" s="87" t="s">
        <v>291</v>
      </c>
      <c r="B270" s="74" t="s">
        <v>165</v>
      </c>
      <c r="C270" s="81">
        <f t="shared" si="3"/>
        <v>661.25</v>
      </c>
    </row>
    <row r="271" spans="1:3" x14ac:dyDescent="0.2">
      <c r="A271" s="87" t="s">
        <v>291</v>
      </c>
      <c r="B271" s="74" t="s">
        <v>166</v>
      </c>
      <c r="C271" s="81">
        <v>340</v>
      </c>
    </row>
    <row r="272" spans="1:3" x14ac:dyDescent="0.2">
      <c r="A272" s="87" t="s">
        <v>291</v>
      </c>
      <c r="B272" s="74" t="s">
        <v>166</v>
      </c>
      <c r="C272" s="81">
        <v>340</v>
      </c>
    </row>
    <row r="273" spans="1:3" x14ac:dyDescent="0.2">
      <c r="A273" s="87" t="s">
        <v>291</v>
      </c>
      <c r="B273" s="74" t="s">
        <v>167</v>
      </c>
      <c r="C273" s="81">
        <v>298</v>
      </c>
    </row>
    <row r="274" spans="1:3" x14ac:dyDescent="0.2">
      <c r="A274" s="87" t="s">
        <v>291</v>
      </c>
      <c r="B274" s="74" t="s">
        <v>167</v>
      </c>
      <c r="C274" s="81">
        <v>298</v>
      </c>
    </row>
    <row r="275" spans="1:3" x14ac:dyDescent="0.2">
      <c r="A275" s="87" t="s">
        <v>291</v>
      </c>
      <c r="B275" s="74" t="s">
        <v>167</v>
      </c>
      <c r="C275" s="81">
        <v>298</v>
      </c>
    </row>
    <row r="276" spans="1:3" x14ac:dyDescent="0.2">
      <c r="A276" s="87" t="s">
        <v>291</v>
      </c>
      <c r="B276" s="74" t="s">
        <v>167</v>
      </c>
      <c r="C276" s="81">
        <v>298</v>
      </c>
    </row>
    <row r="277" spans="1:3" x14ac:dyDescent="0.2">
      <c r="A277" s="87" t="s">
        <v>291</v>
      </c>
      <c r="B277" s="74" t="s">
        <v>167</v>
      </c>
      <c r="C277" s="81">
        <v>298</v>
      </c>
    </row>
    <row r="278" spans="1:3" x14ac:dyDescent="0.2">
      <c r="A278" s="87" t="s">
        <v>291</v>
      </c>
      <c r="B278" s="74" t="s">
        <v>167</v>
      </c>
      <c r="C278" s="81">
        <v>298</v>
      </c>
    </row>
    <row r="279" spans="1:3" x14ac:dyDescent="0.2">
      <c r="A279" s="87" t="s">
        <v>291</v>
      </c>
      <c r="B279" s="74" t="s">
        <v>168</v>
      </c>
      <c r="C279" s="81">
        <v>2564.5</v>
      </c>
    </row>
    <row r="280" spans="1:3" x14ac:dyDescent="0.2">
      <c r="A280" s="87" t="s">
        <v>291</v>
      </c>
      <c r="B280" s="74" t="s">
        <v>168</v>
      </c>
      <c r="C280" s="81">
        <v>2566.5</v>
      </c>
    </row>
    <row r="281" spans="1:3" x14ac:dyDescent="0.2">
      <c r="A281" s="87" t="s">
        <v>291</v>
      </c>
      <c r="B281" s="74" t="s">
        <v>168</v>
      </c>
      <c r="C281" s="81">
        <v>2567.5</v>
      </c>
    </row>
    <row r="282" spans="1:3" x14ac:dyDescent="0.2">
      <c r="A282" s="87" t="s">
        <v>291</v>
      </c>
      <c r="B282" s="74" t="s">
        <v>168</v>
      </c>
      <c r="C282" s="81">
        <v>2568.5</v>
      </c>
    </row>
    <row r="283" spans="1:3" x14ac:dyDescent="0.2">
      <c r="A283" s="87" t="s">
        <v>291</v>
      </c>
      <c r="B283" s="74" t="s">
        <v>168</v>
      </c>
      <c r="C283" s="81">
        <v>2569.5</v>
      </c>
    </row>
    <row r="284" spans="1:3" x14ac:dyDescent="0.2">
      <c r="A284" s="87" t="s">
        <v>291</v>
      </c>
      <c r="B284" s="74" t="s">
        <v>168</v>
      </c>
      <c r="C284" s="81">
        <v>2570.5</v>
      </c>
    </row>
    <row r="285" spans="1:3" x14ac:dyDescent="0.2">
      <c r="A285" s="87" t="s">
        <v>291</v>
      </c>
      <c r="B285" s="74" t="s">
        <v>168</v>
      </c>
      <c r="C285" s="81">
        <v>2570.5</v>
      </c>
    </row>
    <row r="286" spans="1:3" x14ac:dyDescent="0.2">
      <c r="A286" s="87" t="s">
        <v>291</v>
      </c>
      <c r="B286" s="74" t="s">
        <v>168</v>
      </c>
      <c r="C286" s="81">
        <v>2570.5</v>
      </c>
    </row>
    <row r="287" spans="1:3" x14ac:dyDescent="0.2">
      <c r="A287" s="87" t="s">
        <v>291</v>
      </c>
      <c r="B287" s="74" t="s">
        <v>168</v>
      </c>
      <c r="C287" s="81">
        <v>2570.5</v>
      </c>
    </row>
    <row r="288" spans="1:3" x14ac:dyDescent="0.2">
      <c r="A288" s="87" t="s">
        <v>291</v>
      </c>
      <c r="B288" s="74" t="s">
        <v>168</v>
      </c>
      <c r="C288" s="81">
        <v>192</v>
      </c>
    </row>
    <row r="289" spans="1:3" x14ac:dyDescent="0.2">
      <c r="A289" s="87" t="s">
        <v>291</v>
      </c>
      <c r="B289" s="74" t="s">
        <v>168</v>
      </c>
      <c r="C289" s="81">
        <v>192</v>
      </c>
    </row>
    <row r="290" spans="1:3" x14ac:dyDescent="0.2">
      <c r="A290" s="87" t="s">
        <v>291</v>
      </c>
      <c r="B290" s="74" t="s">
        <v>168</v>
      </c>
      <c r="C290" s="81">
        <v>192</v>
      </c>
    </row>
    <row r="291" spans="1:3" x14ac:dyDescent="0.2">
      <c r="A291" s="87" t="s">
        <v>291</v>
      </c>
      <c r="B291" s="74" t="s">
        <v>168</v>
      </c>
      <c r="C291" s="81">
        <v>192</v>
      </c>
    </row>
    <row r="292" spans="1:3" x14ac:dyDescent="0.2">
      <c r="A292" s="87" t="s">
        <v>291</v>
      </c>
      <c r="B292" s="74" t="s">
        <v>168</v>
      </c>
      <c r="C292" s="81">
        <v>192</v>
      </c>
    </row>
    <row r="293" spans="1:3" x14ac:dyDescent="0.2">
      <c r="A293" s="87" t="s">
        <v>291</v>
      </c>
      <c r="B293" s="74" t="s">
        <v>169</v>
      </c>
      <c r="C293" s="81">
        <v>369.15</v>
      </c>
    </row>
    <row r="294" spans="1:3" x14ac:dyDescent="0.2">
      <c r="A294" s="87" t="s">
        <v>291</v>
      </c>
      <c r="B294" s="74" t="s">
        <v>169</v>
      </c>
      <c r="C294" s="81">
        <v>369.15</v>
      </c>
    </row>
    <row r="295" spans="1:3" x14ac:dyDescent="0.2">
      <c r="A295" s="87" t="s">
        <v>291</v>
      </c>
      <c r="B295" s="74" t="s">
        <v>169</v>
      </c>
      <c r="C295" s="81">
        <v>369.15</v>
      </c>
    </row>
    <row r="296" spans="1:3" x14ac:dyDescent="0.2">
      <c r="A296" s="87" t="s">
        <v>291</v>
      </c>
      <c r="B296" s="74" t="s">
        <v>169</v>
      </c>
      <c r="C296" s="81">
        <v>369.15</v>
      </c>
    </row>
    <row r="297" spans="1:3" x14ac:dyDescent="0.2">
      <c r="A297" s="87" t="s">
        <v>291</v>
      </c>
      <c r="B297" s="74" t="s">
        <v>169</v>
      </c>
      <c r="C297" s="81">
        <v>369.15</v>
      </c>
    </row>
    <row r="298" spans="1:3" x14ac:dyDescent="0.2">
      <c r="A298" s="87" t="s">
        <v>291</v>
      </c>
      <c r="B298" s="74" t="s">
        <v>169</v>
      </c>
      <c r="C298" s="81">
        <v>369.15</v>
      </c>
    </row>
    <row r="299" spans="1:3" x14ac:dyDescent="0.2">
      <c r="A299" s="87" t="s">
        <v>291</v>
      </c>
      <c r="B299" s="74" t="s">
        <v>169</v>
      </c>
      <c r="C299" s="81">
        <v>369.15</v>
      </c>
    </row>
    <row r="300" spans="1:3" x14ac:dyDescent="0.2">
      <c r="A300" s="87" t="s">
        <v>291</v>
      </c>
      <c r="B300" s="74" t="s">
        <v>170</v>
      </c>
      <c r="C300" s="81">
        <v>369.15</v>
      </c>
    </row>
    <row r="301" spans="1:3" x14ac:dyDescent="0.2">
      <c r="A301" s="87" t="s">
        <v>291</v>
      </c>
      <c r="B301" s="74" t="s">
        <v>169</v>
      </c>
      <c r="C301" s="81">
        <v>369.15</v>
      </c>
    </row>
    <row r="302" spans="1:3" x14ac:dyDescent="0.2">
      <c r="A302" s="87" t="s">
        <v>291</v>
      </c>
      <c r="B302" s="74" t="s">
        <v>169</v>
      </c>
      <c r="C302" s="81">
        <v>369.15</v>
      </c>
    </row>
    <row r="303" spans="1:3" x14ac:dyDescent="0.2">
      <c r="A303" s="87" t="s">
        <v>291</v>
      </c>
      <c r="B303" s="74" t="s">
        <v>169</v>
      </c>
      <c r="C303" s="81">
        <v>369.15</v>
      </c>
    </row>
    <row r="304" spans="1:3" x14ac:dyDescent="0.2">
      <c r="A304" s="87" t="s">
        <v>291</v>
      </c>
      <c r="B304" s="74" t="s">
        <v>169</v>
      </c>
      <c r="C304" s="81">
        <v>369.15</v>
      </c>
    </row>
    <row r="305" spans="1:3" x14ac:dyDescent="0.2">
      <c r="A305" s="87" t="s">
        <v>291</v>
      </c>
      <c r="B305" s="74" t="s">
        <v>169</v>
      </c>
      <c r="C305" s="81">
        <v>369.15</v>
      </c>
    </row>
    <row r="306" spans="1:3" x14ac:dyDescent="0.2">
      <c r="A306" s="87" t="s">
        <v>291</v>
      </c>
      <c r="B306" s="74" t="s">
        <v>169</v>
      </c>
      <c r="C306" s="81">
        <v>369.15</v>
      </c>
    </row>
    <row r="307" spans="1:3" x14ac:dyDescent="0.2">
      <c r="A307" s="87" t="s">
        <v>291</v>
      </c>
      <c r="B307" s="74" t="s">
        <v>169</v>
      </c>
      <c r="C307" s="81">
        <v>369.15</v>
      </c>
    </row>
    <row r="308" spans="1:3" x14ac:dyDescent="0.2">
      <c r="A308" s="87" t="s">
        <v>291</v>
      </c>
      <c r="B308" s="74" t="s">
        <v>169</v>
      </c>
      <c r="C308" s="81">
        <v>369.15</v>
      </c>
    </row>
    <row r="309" spans="1:3" x14ac:dyDescent="0.2">
      <c r="A309" s="87" t="s">
        <v>291</v>
      </c>
      <c r="B309" s="74" t="s">
        <v>169</v>
      </c>
      <c r="C309" s="81">
        <v>369.15</v>
      </c>
    </row>
    <row r="310" spans="1:3" x14ac:dyDescent="0.2">
      <c r="A310" s="87" t="s">
        <v>291</v>
      </c>
      <c r="B310" s="74" t="s">
        <v>169</v>
      </c>
      <c r="C310" s="81">
        <v>369.15</v>
      </c>
    </row>
    <row r="311" spans="1:3" x14ac:dyDescent="0.2">
      <c r="A311" s="87" t="s">
        <v>291</v>
      </c>
      <c r="B311" s="74" t="s">
        <v>169</v>
      </c>
      <c r="C311" s="81">
        <v>369.15</v>
      </c>
    </row>
    <row r="312" spans="1:3" x14ac:dyDescent="0.2">
      <c r="A312" s="87" t="s">
        <v>291</v>
      </c>
      <c r="B312" s="74" t="s">
        <v>169</v>
      </c>
      <c r="C312" s="81">
        <v>369.15</v>
      </c>
    </row>
    <row r="313" spans="1:3" x14ac:dyDescent="0.2">
      <c r="A313" s="87" t="s">
        <v>291</v>
      </c>
      <c r="B313" s="74" t="s">
        <v>169</v>
      </c>
      <c r="C313" s="81">
        <v>369.15</v>
      </c>
    </row>
    <row r="314" spans="1:3" x14ac:dyDescent="0.2">
      <c r="A314" s="87" t="s">
        <v>291</v>
      </c>
      <c r="B314" s="74" t="s">
        <v>169</v>
      </c>
      <c r="C314" s="81">
        <v>369.15</v>
      </c>
    </row>
    <row r="315" spans="1:3" x14ac:dyDescent="0.2">
      <c r="A315" s="87" t="s">
        <v>291</v>
      </c>
      <c r="B315" s="74" t="s">
        <v>169</v>
      </c>
      <c r="C315" s="81">
        <v>453</v>
      </c>
    </row>
    <row r="316" spans="1:3" x14ac:dyDescent="0.2">
      <c r="A316" s="87" t="s">
        <v>291</v>
      </c>
      <c r="B316" s="74" t="s">
        <v>169</v>
      </c>
      <c r="C316" s="81">
        <v>453</v>
      </c>
    </row>
    <row r="317" spans="1:3" x14ac:dyDescent="0.2">
      <c r="A317" s="87" t="s">
        <v>291</v>
      </c>
      <c r="B317" s="74" t="s">
        <v>169</v>
      </c>
      <c r="C317" s="81">
        <v>453</v>
      </c>
    </row>
    <row r="318" spans="1:3" x14ac:dyDescent="0.2">
      <c r="A318" s="87" t="s">
        <v>291</v>
      </c>
      <c r="B318" s="74" t="s">
        <v>169</v>
      </c>
      <c r="C318" s="81">
        <v>453</v>
      </c>
    </row>
    <row r="319" spans="1:3" x14ac:dyDescent="0.2">
      <c r="A319" s="87" t="s">
        <v>291</v>
      </c>
      <c r="B319" s="74" t="s">
        <v>169</v>
      </c>
      <c r="C319" s="81">
        <v>453</v>
      </c>
    </row>
    <row r="320" spans="1:3" x14ac:dyDescent="0.2">
      <c r="A320" s="87" t="s">
        <v>291</v>
      </c>
      <c r="B320" s="74" t="s">
        <v>169</v>
      </c>
      <c r="C320" s="81">
        <v>453</v>
      </c>
    </row>
    <row r="321" spans="1:3" x14ac:dyDescent="0.2">
      <c r="A321" s="87" t="s">
        <v>291</v>
      </c>
      <c r="B321" s="74" t="s">
        <v>169</v>
      </c>
      <c r="C321" s="81">
        <v>453</v>
      </c>
    </row>
    <row r="322" spans="1:3" x14ac:dyDescent="0.2">
      <c r="A322" s="87" t="s">
        <v>291</v>
      </c>
      <c r="B322" s="74" t="s">
        <v>169</v>
      </c>
      <c r="C322" s="81">
        <v>453</v>
      </c>
    </row>
    <row r="323" spans="1:3" x14ac:dyDescent="0.2">
      <c r="A323" s="87" t="s">
        <v>291</v>
      </c>
      <c r="B323" s="74" t="s">
        <v>169</v>
      </c>
      <c r="C323" s="81">
        <f>520*1.15</f>
        <v>598</v>
      </c>
    </row>
    <row r="324" spans="1:3" x14ac:dyDescent="0.2">
      <c r="A324" s="87" t="s">
        <v>291</v>
      </c>
      <c r="B324" s="74" t="s">
        <v>169</v>
      </c>
      <c r="C324" s="81">
        <f>520*1.15</f>
        <v>598</v>
      </c>
    </row>
    <row r="325" spans="1:3" x14ac:dyDescent="0.2">
      <c r="A325" s="87" t="s">
        <v>291</v>
      </c>
      <c r="B325" s="74" t="s">
        <v>169</v>
      </c>
      <c r="C325" s="81">
        <f>520*1.15</f>
        <v>598</v>
      </c>
    </row>
    <row r="326" spans="1:3" x14ac:dyDescent="0.2">
      <c r="A326" s="87" t="s">
        <v>291</v>
      </c>
      <c r="B326" s="74" t="s">
        <v>169</v>
      </c>
      <c r="C326" s="81">
        <v>611.1</v>
      </c>
    </row>
    <row r="327" spans="1:3" x14ac:dyDescent="0.2">
      <c r="A327" s="87" t="s">
        <v>291</v>
      </c>
      <c r="B327" s="74" t="s">
        <v>169</v>
      </c>
      <c r="C327" s="81">
        <v>611.1</v>
      </c>
    </row>
    <row r="328" spans="1:3" x14ac:dyDescent="0.2">
      <c r="A328" s="87" t="s">
        <v>291</v>
      </c>
      <c r="B328" s="74" t="s">
        <v>169</v>
      </c>
      <c r="C328" s="81">
        <v>611.1</v>
      </c>
    </row>
    <row r="329" spans="1:3" x14ac:dyDescent="0.2">
      <c r="A329" s="87" t="s">
        <v>291</v>
      </c>
      <c r="B329" s="74" t="s">
        <v>169</v>
      </c>
      <c r="C329" s="81">
        <v>611.1</v>
      </c>
    </row>
    <row r="330" spans="1:3" x14ac:dyDescent="0.2">
      <c r="A330" s="87" t="s">
        <v>291</v>
      </c>
      <c r="B330" s="74" t="s">
        <v>169</v>
      </c>
      <c r="C330" s="81">
        <v>611.1</v>
      </c>
    </row>
    <row r="331" spans="1:3" x14ac:dyDescent="0.2">
      <c r="A331" s="87" t="s">
        <v>291</v>
      </c>
      <c r="B331" s="74" t="s">
        <v>169</v>
      </c>
      <c r="C331" s="81">
        <v>611.1</v>
      </c>
    </row>
    <row r="332" spans="1:3" x14ac:dyDescent="0.2">
      <c r="A332" s="87" t="s">
        <v>291</v>
      </c>
      <c r="B332" s="74" t="s">
        <v>169</v>
      </c>
      <c r="C332" s="81">
        <v>611.1</v>
      </c>
    </row>
    <row r="333" spans="1:3" x14ac:dyDescent="0.2">
      <c r="A333" s="87" t="s">
        <v>291</v>
      </c>
      <c r="B333" s="74" t="s">
        <v>169</v>
      </c>
      <c r="C333" s="81">
        <v>611.1</v>
      </c>
    </row>
    <row r="334" spans="1:3" x14ac:dyDescent="0.2">
      <c r="A334" s="87" t="s">
        <v>291</v>
      </c>
      <c r="B334" s="74" t="s">
        <v>169</v>
      </c>
      <c r="C334" s="81">
        <v>611.1</v>
      </c>
    </row>
    <row r="335" spans="1:3" x14ac:dyDescent="0.2">
      <c r="A335" s="87" t="s">
        <v>291</v>
      </c>
      <c r="B335" s="74" t="s">
        <v>169</v>
      </c>
      <c r="C335" s="81">
        <v>611.1</v>
      </c>
    </row>
    <row r="336" spans="1:3" x14ac:dyDescent="0.2">
      <c r="A336" s="87" t="s">
        <v>291</v>
      </c>
      <c r="B336" s="74" t="s">
        <v>169</v>
      </c>
      <c r="C336" s="81">
        <v>611.1</v>
      </c>
    </row>
    <row r="337" spans="1:3" x14ac:dyDescent="0.2">
      <c r="A337" s="87" t="s">
        <v>291</v>
      </c>
      <c r="B337" s="74" t="s">
        <v>169</v>
      </c>
      <c r="C337" s="81">
        <v>611.1</v>
      </c>
    </row>
    <row r="338" spans="1:3" x14ac:dyDescent="0.2">
      <c r="A338" s="87" t="s">
        <v>291</v>
      </c>
      <c r="B338" s="74" t="s">
        <v>169</v>
      </c>
      <c r="C338" s="81">
        <v>611.1</v>
      </c>
    </row>
    <row r="339" spans="1:3" x14ac:dyDescent="0.2">
      <c r="A339" s="87" t="s">
        <v>291</v>
      </c>
      <c r="B339" s="74" t="s">
        <v>169</v>
      </c>
      <c r="C339" s="81">
        <v>611.1</v>
      </c>
    </row>
    <row r="340" spans="1:3" x14ac:dyDescent="0.2">
      <c r="A340" s="87" t="s">
        <v>291</v>
      </c>
      <c r="B340" s="74" t="s">
        <v>169</v>
      </c>
      <c r="C340" s="81">
        <v>611.1</v>
      </c>
    </row>
    <row r="341" spans="1:3" x14ac:dyDescent="0.2">
      <c r="A341" s="87" t="s">
        <v>291</v>
      </c>
      <c r="B341" s="74" t="s">
        <v>171</v>
      </c>
      <c r="C341" s="81">
        <v>669.95</v>
      </c>
    </row>
    <row r="342" spans="1:3" x14ac:dyDescent="0.2">
      <c r="A342" s="87" t="s">
        <v>291</v>
      </c>
      <c r="B342" s="74" t="s">
        <v>171</v>
      </c>
      <c r="C342" s="81">
        <v>669.95</v>
      </c>
    </row>
    <row r="343" spans="1:3" x14ac:dyDescent="0.2">
      <c r="A343" s="87" t="s">
        <v>291</v>
      </c>
      <c r="B343" s="74" t="s">
        <v>171</v>
      </c>
      <c r="C343" s="81">
        <v>669.95</v>
      </c>
    </row>
    <row r="344" spans="1:3" x14ac:dyDescent="0.2">
      <c r="A344" s="87" t="s">
        <v>291</v>
      </c>
      <c r="B344" s="74" t="s">
        <v>171</v>
      </c>
      <c r="C344" s="81">
        <v>669.95</v>
      </c>
    </row>
    <row r="345" spans="1:3" x14ac:dyDescent="0.2">
      <c r="A345" s="87" t="s">
        <v>291</v>
      </c>
      <c r="B345" s="74" t="s">
        <v>171</v>
      </c>
      <c r="C345" s="81">
        <v>669.95</v>
      </c>
    </row>
    <row r="346" spans="1:3" x14ac:dyDescent="0.2">
      <c r="A346" s="87" t="s">
        <v>291</v>
      </c>
      <c r="B346" s="74" t="s">
        <v>171</v>
      </c>
      <c r="C346" s="81">
        <v>669.95</v>
      </c>
    </row>
    <row r="347" spans="1:3" x14ac:dyDescent="0.2">
      <c r="A347" s="87" t="s">
        <v>291</v>
      </c>
      <c r="B347" s="74" t="s">
        <v>171</v>
      </c>
      <c r="C347" s="81">
        <v>669.95</v>
      </c>
    </row>
    <row r="348" spans="1:3" x14ac:dyDescent="0.2">
      <c r="A348" s="90" t="s">
        <v>291</v>
      </c>
      <c r="B348" s="74" t="s">
        <v>172</v>
      </c>
      <c r="C348" s="81">
        <v>286.72000000000003</v>
      </c>
    </row>
    <row r="349" spans="1:3" x14ac:dyDescent="0.2">
      <c r="A349" s="87" t="s">
        <v>291</v>
      </c>
      <c r="B349" s="74" t="s">
        <v>173</v>
      </c>
      <c r="C349" s="81">
        <v>286.72000000000003</v>
      </c>
    </row>
    <row r="350" spans="1:3" x14ac:dyDescent="0.2">
      <c r="A350" s="87" t="s">
        <v>291</v>
      </c>
      <c r="B350" s="74" t="s">
        <v>173</v>
      </c>
      <c r="C350" s="81">
        <v>286.72000000000003</v>
      </c>
    </row>
    <row r="351" spans="1:3" x14ac:dyDescent="0.2">
      <c r="A351" s="87" t="s">
        <v>291</v>
      </c>
      <c r="B351" s="74" t="s">
        <v>173</v>
      </c>
      <c r="C351" s="81">
        <v>318.82</v>
      </c>
    </row>
    <row r="352" spans="1:3" x14ac:dyDescent="0.2">
      <c r="A352" s="87" t="s">
        <v>291</v>
      </c>
      <c r="B352" s="74" t="s">
        <v>174</v>
      </c>
      <c r="C352" s="81">
        <v>281.3</v>
      </c>
    </row>
    <row r="353" spans="1:3" x14ac:dyDescent="0.2">
      <c r="A353" s="87" t="s">
        <v>291</v>
      </c>
      <c r="B353" s="74" t="s">
        <v>174</v>
      </c>
      <c r="C353" s="81">
        <v>281.3</v>
      </c>
    </row>
    <row r="354" spans="1:3" x14ac:dyDescent="0.2">
      <c r="A354" s="87" t="s">
        <v>291</v>
      </c>
      <c r="B354" s="74" t="s">
        <v>175</v>
      </c>
      <c r="C354" s="81">
        <v>431.25</v>
      </c>
    </row>
    <row r="355" spans="1:3" x14ac:dyDescent="0.2">
      <c r="A355" s="87" t="s">
        <v>291</v>
      </c>
      <c r="B355" s="74" t="s">
        <v>176</v>
      </c>
      <c r="C355" s="81">
        <v>570.4</v>
      </c>
    </row>
    <row r="356" spans="1:3" x14ac:dyDescent="0.2">
      <c r="A356" s="87" t="s">
        <v>291</v>
      </c>
      <c r="B356" s="74" t="s">
        <v>159</v>
      </c>
      <c r="C356" s="81">
        <f>3220*1.15</f>
        <v>3702.9999999999995</v>
      </c>
    </row>
    <row r="357" spans="1:3" x14ac:dyDescent="0.2">
      <c r="A357" s="87" t="s">
        <v>291</v>
      </c>
      <c r="B357" s="74" t="s">
        <v>159</v>
      </c>
      <c r="C357" s="81">
        <f>3220*1.15</f>
        <v>3702.9999999999995</v>
      </c>
    </row>
    <row r="358" spans="1:3" x14ac:dyDescent="0.2">
      <c r="A358" s="87" t="s">
        <v>291</v>
      </c>
      <c r="B358" s="74" t="s">
        <v>159</v>
      </c>
      <c r="C358" s="81">
        <f>3220*1.15</f>
        <v>3702.9999999999995</v>
      </c>
    </row>
    <row r="359" spans="1:3" x14ac:dyDescent="0.2">
      <c r="A359" s="87" t="s">
        <v>291</v>
      </c>
      <c r="B359" s="74" t="s">
        <v>159</v>
      </c>
      <c r="C359" s="81">
        <f>3220*1.15</f>
        <v>3702.9999999999995</v>
      </c>
    </row>
    <row r="360" spans="1:3" x14ac:dyDescent="0.2">
      <c r="A360" s="87" t="s">
        <v>291</v>
      </c>
      <c r="B360" s="74" t="s">
        <v>159</v>
      </c>
      <c r="C360" s="81">
        <f>3220*1.15</f>
        <v>3702.9999999999995</v>
      </c>
    </row>
    <row r="361" spans="1:3" x14ac:dyDescent="0.2">
      <c r="A361" s="87" t="s">
        <v>291</v>
      </c>
      <c r="B361" s="74" t="s">
        <v>177</v>
      </c>
      <c r="C361" s="81">
        <f t="shared" ref="C361:C375" si="4">862.5*1.15</f>
        <v>991.87499999999989</v>
      </c>
    </row>
    <row r="362" spans="1:3" x14ac:dyDescent="0.2">
      <c r="A362" s="87" t="s">
        <v>291</v>
      </c>
      <c r="B362" s="74" t="s">
        <v>177</v>
      </c>
      <c r="C362" s="81">
        <f t="shared" si="4"/>
        <v>991.87499999999989</v>
      </c>
    </row>
    <row r="363" spans="1:3" x14ac:dyDescent="0.2">
      <c r="A363" s="87" t="s">
        <v>291</v>
      </c>
      <c r="B363" s="74" t="s">
        <v>177</v>
      </c>
      <c r="C363" s="81">
        <f t="shared" si="4"/>
        <v>991.87499999999989</v>
      </c>
    </row>
    <row r="364" spans="1:3" x14ac:dyDescent="0.2">
      <c r="A364" s="87" t="s">
        <v>291</v>
      </c>
      <c r="B364" s="74" t="s">
        <v>177</v>
      </c>
      <c r="C364" s="81">
        <f t="shared" si="4"/>
        <v>991.87499999999989</v>
      </c>
    </row>
    <row r="365" spans="1:3" x14ac:dyDescent="0.2">
      <c r="A365" s="87" t="s">
        <v>291</v>
      </c>
      <c r="B365" s="74" t="s">
        <v>177</v>
      </c>
      <c r="C365" s="81">
        <f t="shared" si="4"/>
        <v>991.87499999999989</v>
      </c>
    </row>
    <row r="366" spans="1:3" x14ac:dyDescent="0.2">
      <c r="A366" s="87" t="s">
        <v>291</v>
      </c>
      <c r="B366" s="74" t="s">
        <v>177</v>
      </c>
      <c r="C366" s="81">
        <f t="shared" si="4"/>
        <v>991.87499999999989</v>
      </c>
    </row>
    <row r="367" spans="1:3" x14ac:dyDescent="0.2">
      <c r="A367" s="87" t="s">
        <v>291</v>
      </c>
      <c r="B367" s="74" t="s">
        <v>177</v>
      </c>
      <c r="C367" s="81">
        <f t="shared" si="4"/>
        <v>991.87499999999989</v>
      </c>
    </row>
    <row r="368" spans="1:3" x14ac:dyDescent="0.2">
      <c r="A368" s="87" t="s">
        <v>291</v>
      </c>
      <c r="B368" s="74" t="s">
        <v>177</v>
      </c>
      <c r="C368" s="81">
        <f t="shared" si="4"/>
        <v>991.87499999999989</v>
      </c>
    </row>
    <row r="369" spans="1:3" x14ac:dyDescent="0.2">
      <c r="A369" s="87" t="s">
        <v>291</v>
      </c>
      <c r="B369" s="74" t="s">
        <v>177</v>
      </c>
      <c r="C369" s="81">
        <f t="shared" si="4"/>
        <v>991.87499999999989</v>
      </c>
    </row>
    <row r="370" spans="1:3" x14ac:dyDescent="0.2">
      <c r="A370" s="87" t="s">
        <v>291</v>
      </c>
      <c r="B370" s="74" t="s">
        <v>177</v>
      </c>
      <c r="C370" s="81">
        <f t="shared" si="4"/>
        <v>991.87499999999989</v>
      </c>
    </row>
    <row r="371" spans="1:3" x14ac:dyDescent="0.2">
      <c r="A371" s="87" t="s">
        <v>291</v>
      </c>
      <c r="B371" s="74" t="s">
        <v>177</v>
      </c>
      <c r="C371" s="81">
        <f t="shared" si="4"/>
        <v>991.87499999999989</v>
      </c>
    </row>
    <row r="372" spans="1:3" x14ac:dyDescent="0.2">
      <c r="A372" s="87" t="s">
        <v>291</v>
      </c>
      <c r="B372" s="74" t="s">
        <v>177</v>
      </c>
      <c r="C372" s="81">
        <f t="shared" si="4"/>
        <v>991.87499999999989</v>
      </c>
    </row>
    <row r="373" spans="1:3" x14ac:dyDescent="0.2">
      <c r="A373" s="87" t="s">
        <v>291</v>
      </c>
      <c r="B373" s="74" t="s">
        <v>177</v>
      </c>
      <c r="C373" s="81">
        <f t="shared" si="4"/>
        <v>991.87499999999989</v>
      </c>
    </row>
    <row r="374" spans="1:3" x14ac:dyDescent="0.2">
      <c r="A374" s="87" t="s">
        <v>291</v>
      </c>
      <c r="B374" s="74" t="s">
        <v>177</v>
      </c>
      <c r="C374" s="81">
        <f t="shared" si="4"/>
        <v>991.87499999999989</v>
      </c>
    </row>
    <row r="375" spans="1:3" x14ac:dyDescent="0.2">
      <c r="A375" s="87" t="s">
        <v>291</v>
      </c>
      <c r="B375" s="74" t="s">
        <v>177</v>
      </c>
      <c r="C375" s="81">
        <f t="shared" si="4"/>
        <v>991.87499999999989</v>
      </c>
    </row>
    <row r="376" spans="1:3" x14ac:dyDescent="0.2">
      <c r="A376" s="87" t="s">
        <v>291</v>
      </c>
      <c r="B376" s="74" t="s">
        <v>178</v>
      </c>
      <c r="C376" s="81">
        <f>575*1.15</f>
        <v>661.25</v>
      </c>
    </row>
    <row r="377" spans="1:3" x14ac:dyDescent="0.2">
      <c r="A377" s="90" t="s">
        <v>291</v>
      </c>
      <c r="B377" s="94" t="s">
        <v>179</v>
      </c>
      <c r="C377" s="81">
        <f>2173.91*1.15</f>
        <v>2499.9964999999997</v>
      </c>
    </row>
    <row r="378" spans="1:3" x14ac:dyDescent="0.2">
      <c r="A378" s="90" t="s">
        <v>291</v>
      </c>
      <c r="B378" s="94" t="s">
        <v>179</v>
      </c>
      <c r="C378" s="81">
        <f>2173.91*1.15</f>
        <v>2499.9964999999997</v>
      </c>
    </row>
    <row r="379" spans="1:3" x14ac:dyDescent="0.2">
      <c r="A379" s="90" t="s">
        <v>291</v>
      </c>
      <c r="B379" s="94" t="s">
        <v>179</v>
      </c>
      <c r="C379" s="81">
        <f>2173.91*1.15</f>
        <v>2499.9964999999997</v>
      </c>
    </row>
    <row r="380" spans="1:3" x14ac:dyDescent="0.2">
      <c r="A380" s="90" t="s">
        <v>291</v>
      </c>
      <c r="B380" s="94" t="s">
        <v>179</v>
      </c>
      <c r="C380" s="81">
        <f>2173.91*1.15</f>
        <v>2499.9964999999997</v>
      </c>
    </row>
    <row r="381" spans="1:3" x14ac:dyDescent="0.2">
      <c r="A381" s="90" t="s">
        <v>291</v>
      </c>
      <c r="B381" s="94" t="s">
        <v>179</v>
      </c>
      <c r="C381" s="81">
        <f>2173.91*1.15</f>
        <v>2499.9964999999997</v>
      </c>
    </row>
    <row r="382" spans="1:3" ht="15.95" customHeight="1" x14ac:dyDescent="0.2">
      <c r="A382" s="90" t="s">
        <v>291</v>
      </c>
      <c r="B382" s="74" t="s">
        <v>180</v>
      </c>
      <c r="C382" s="81">
        <f>1739.14*1.15</f>
        <v>2000.011</v>
      </c>
    </row>
    <row r="383" spans="1:3" x14ac:dyDescent="0.2">
      <c r="A383" s="87" t="s">
        <v>291</v>
      </c>
      <c r="B383" s="74" t="s">
        <v>181</v>
      </c>
      <c r="C383" s="81">
        <f>1739.14*1.15</f>
        <v>2000.011</v>
      </c>
    </row>
    <row r="384" spans="1:3" x14ac:dyDescent="0.2">
      <c r="A384" s="87" t="s">
        <v>291</v>
      </c>
      <c r="B384" s="74" t="s">
        <v>181</v>
      </c>
      <c r="C384" s="81">
        <f>1739.14*1.15</f>
        <v>2000.011</v>
      </c>
    </row>
    <row r="385" spans="1:3" x14ac:dyDescent="0.2">
      <c r="A385" s="87" t="s">
        <v>291</v>
      </c>
      <c r="B385" s="74" t="s">
        <v>181</v>
      </c>
      <c r="C385" s="81">
        <f>1739.14*1.15</f>
        <v>2000.011</v>
      </c>
    </row>
    <row r="386" spans="1:3" x14ac:dyDescent="0.2">
      <c r="A386" s="87" t="s">
        <v>291</v>
      </c>
      <c r="B386" s="74" t="s">
        <v>181</v>
      </c>
      <c r="C386" s="81">
        <f>1739.14*1.15</f>
        <v>2000.011</v>
      </c>
    </row>
    <row r="387" spans="1:3" x14ac:dyDescent="0.2">
      <c r="A387" s="87" t="s">
        <v>291</v>
      </c>
      <c r="B387" s="74" t="s">
        <v>182</v>
      </c>
      <c r="C387" s="81">
        <v>351.62</v>
      </c>
    </row>
    <row r="388" spans="1:3" x14ac:dyDescent="0.2">
      <c r="A388" s="87" t="s">
        <v>291</v>
      </c>
      <c r="B388" s="74" t="s">
        <v>183</v>
      </c>
      <c r="C388" s="81">
        <v>351.62</v>
      </c>
    </row>
    <row r="389" spans="1:3" x14ac:dyDescent="0.2">
      <c r="A389" s="87" t="s">
        <v>291</v>
      </c>
      <c r="B389" s="74" t="s">
        <v>183</v>
      </c>
      <c r="C389" s="81">
        <v>351.62</v>
      </c>
    </row>
    <row r="390" spans="1:3" x14ac:dyDescent="0.2">
      <c r="A390" s="87" t="s">
        <v>291</v>
      </c>
      <c r="B390" s="74" t="s">
        <v>183</v>
      </c>
      <c r="C390" s="81">
        <v>351.62</v>
      </c>
    </row>
    <row r="391" spans="1:3" x14ac:dyDescent="0.2">
      <c r="A391" s="90" t="s">
        <v>291</v>
      </c>
      <c r="B391" s="74" t="s">
        <v>290</v>
      </c>
      <c r="C391" s="81">
        <f t="shared" ref="C391:C414" si="5">420*1.15</f>
        <v>482.99999999999994</v>
      </c>
    </row>
    <row r="392" spans="1:3" x14ac:dyDescent="0.2">
      <c r="A392" s="90" t="s">
        <v>291</v>
      </c>
      <c r="B392" s="74" t="s">
        <v>290</v>
      </c>
      <c r="C392" s="81">
        <f t="shared" si="5"/>
        <v>482.99999999999994</v>
      </c>
    </row>
    <row r="393" spans="1:3" x14ac:dyDescent="0.2">
      <c r="A393" s="90" t="s">
        <v>291</v>
      </c>
      <c r="B393" s="74" t="s">
        <v>290</v>
      </c>
      <c r="C393" s="81">
        <f t="shared" si="5"/>
        <v>482.99999999999994</v>
      </c>
    </row>
    <row r="394" spans="1:3" x14ac:dyDescent="0.2">
      <c r="A394" s="90" t="s">
        <v>291</v>
      </c>
      <c r="B394" s="74" t="s">
        <v>290</v>
      </c>
      <c r="C394" s="81">
        <f t="shared" si="5"/>
        <v>482.99999999999994</v>
      </c>
    </row>
    <row r="395" spans="1:3" x14ac:dyDescent="0.2">
      <c r="A395" s="90" t="s">
        <v>291</v>
      </c>
      <c r="B395" s="74" t="s">
        <v>290</v>
      </c>
      <c r="C395" s="81">
        <f t="shared" si="5"/>
        <v>482.99999999999994</v>
      </c>
    </row>
    <row r="396" spans="1:3" x14ac:dyDescent="0.2">
      <c r="A396" s="90" t="s">
        <v>291</v>
      </c>
      <c r="B396" s="74" t="s">
        <v>290</v>
      </c>
      <c r="C396" s="81">
        <f t="shared" si="5"/>
        <v>482.99999999999994</v>
      </c>
    </row>
    <row r="397" spans="1:3" x14ac:dyDescent="0.2">
      <c r="A397" s="90" t="s">
        <v>291</v>
      </c>
      <c r="B397" s="74" t="s">
        <v>290</v>
      </c>
      <c r="C397" s="81">
        <f t="shared" si="5"/>
        <v>482.99999999999994</v>
      </c>
    </row>
    <row r="398" spans="1:3" x14ac:dyDescent="0.2">
      <c r="A398" s="90" t="s">
        <v>291</v>
      </c>
      <c r="B398" s="74" t="s">
        <v>290</v>
      </c>
      <c r="C398" s="81">
        <f t="shared" si="5"/>
        <v>482.99999999999994</v>
      </c>
    </row>
    <row r="399" spans="1:3" x14ac:dyDescent="0.2">
      <c r="A399" s="90" t="s">
        <v>291</v>
      </c>
      <c r="B399" s="74" t="s">
        <v>290</v>
      </c>
      <c r="C399" s="81">
        <f t="shared" si="5"/>
        <v>482.99999999999994</v>
      </c>
    </row>
    <row r="400" spans="1:3" x14ac:dyDescent="0.2">
      <c r="A400" s="90" t="s">
        <v>291</v>
      </c>
      <c r="B400" s="74" t="s">
        <v>290</v>
      </c>
      <c r="C400" s="81">
        <f t="shared" si="5"/>
        <v>482.99999999999994</v>
      </c>
    </row>
    <row r="401" spans="1:3" x14ac:dyDescent="0.2">
      <c r="A401" s="90" t="s">
        <v>291</v>
      </c>
      <c r="B401" s="74" t="s">
        <v>290</v>
      </c>
      <c r="C401" s="81">
        <f t="shared" si="5"/>
        <v>482.99999999999994</v>
      </c>
    </row>
    <row r="402" spans="1:3" x14ac:dyDescent="0.2">
      <c r="A402" s="90" t="s">
        <v>291</v>
      </c>
      <c r="B402" s="74" t="s">
        <v>290</v>
      </c>
      <c r="C402" s="81">
        <f t="shared" si="5"/>
        <v>482.99999999999994</v>
      </c>
    </row>
    <row r="403" spans="1:3" x14ac:dyDescent="0.2">
      <c r="A403" s="90" t="s">
        <v>291</v>
      </c>
      <c r="B403" s="74" t="s">
        <v>290</v>
      </c>
      <c r="C403" s="81">
        <f t="shared" si="5"/>
        <v>482.99999999999994</v>
      </c>
    </row>
    <row r="404" spans="1:3" x14ac:dyDescent="0.2">
      <c r="A404" s="90" t="s">
        <v>291</v>
      </c>
      <c r="B404" s="74" t="s">
        <v>290</v>
      </c>
      <c r="C404" s="81">
        <f t="shared" si="5"/>
        <v>482.99999999999994</v>
      </c>
    </row>
    <row r="405" spans="1:3" x14ac:dyDescent="0.2">
      <c r="A405" s="90" t="s">
        <v>291</v>
      </c>
      <c r="B405" s="74" t="s">
        <v>290</v>
      </c>
      <c r="C405" s="81">
        <f t="shared" si="5"/>
        <v>482.99999999999994</v>
      </c>
    </row>
    <row r="406" spans="1:3" x14ac:dyDescent="0.2">
      <c r="A406" s="90" t="s">
        <v>291</v>
      </c>
      <c r="B406" s="74" t="s">
        <v>290</v>
      </c>
      <c r="C406" s="81">
        <f t="shared" si="5"/>
        <v>482.99999999999994</v>
      </c>
    </row>
    <row r="407" spans="1:3" x14ac:dyDescent="0.2">
      <c r="A407" s="90" t="s">
        <v>291</v>
      </c>
      <c r="B407" s="74" t="s">
        <v>290</v>
      </c>
      <c r="C407" s="81">
        <f t="shared" si="5"/>
        <v>482.99999999999994</v>
      </c>
    </row>
    <row r="408" spans="1:3" x14ac:dyDescent="0.2">
      <c r="A408" s="90" t="s">
        <v>291</v>
      </c>
      <c r="B408" s="74" t="s">
        <v>290</v>
      </c>
      <c r="C408" s="81">
        <f t="shared" si="5"/>
        <v>482.99999999999994</v>
      </c>
    </row>
    <row r="409" spans="1:3" x14ac:dyDescent="0.2">
      <c r="A409" s="90" t="s">
        <v>291</v>
      </c>
      <c r="B409" s="74" t="s">
        <v>290</v>
      </c>
      <c r="C409" s="81">
        <f t="shared" si="5"/>
        <v>482.99999999999994</v>
      </c>
    </row>
    <row r="410" spans="1:3" x14ac:dyDescent="0.2">
      <c r="A410" s="90" t="s">
        <v>291</v>
      </c>
      <c r="B410" s="74" t="s">
        <v>290</v>
      </c>
      <c r="C410" s="81">
        <f t="shared" si="5"/>
        <v>482.99999999999994</v>
      </c>
    </row>
    <row r="411" spans="1:3" x14ac:dyDescent="0.2">
      <c r="A411" s="90" t="s">
        <v>291</v>
      </c>
      <c r="B411" s="74" t="s">
        <v>290</v>
      </c>
      <c r="C411" s="81">
        <f t="shared" si="5"/>
        <v>482.99999999999994</v>
      </c>
    </row>
    <row r="412" spans="1:3" x14ac:dyDescent="0.2">
      <c r="A412" s="90" t="s">
        <v>291</v>
      </c>
      <c r="B412" s="74" t="s">
        <v>290</v>
      </c>
      <c r="C412" s="81">
        <f t="shared" si="5"/>
        <v>482.99999999999994</v>
      </c>
    </row>
    <row r="413" spans="1:3" x14ac:dyDescent="0.2">
      <c r="A413" s="90" t="s">
        <v>291</v>
      </c>
      <c r="B413" s="74" t="s">
        <v>290</v>
      </c>
      <c r="C413" s="81">
        <f t="shared" si="5"/>
        <v>482.99999999999994</v>
      </c>
    </row>
    <row r="414" spans="1:3" x14ac:dyDescent="0.2">
      <c r="A414" s="90" t="s">
        <v>291</v>
      </c>
      <c r="B414" s="74" t="s">
        <v>290</v>
      </c>
      <c r="C414" s="81">
        <f t="shared" si="5"/>
        <v>482.99999999999994</v>
      </c>
    </row>
    <row r="415" spans="1:3" x14ac:dyDescent="0.2">
      <c r="A415" s="87" t="s">
        <v>291</v>
      </c>
      <c r="B415" s="74" t="s">
        <v>178</v>
      </c>
      <c r="C415" s="81">
        <v>36</v>
      </c>
    </row>
    <row r="416" spans="1:3" x14ac:dyDescent="0.2">
      <c r="A416" s="87" t="s">
        <v>291</v>
      </c>
      <c r="B416" s="74" t="s">
        <v>178</v>
      </c>
      <c r="C416" s="81">
        <v>36</v>
      </c>
    </row>
    <row r="417" spans="1:3" x14ac:dyDescent="0.2">
      <c r="A417" s="87" t="s">
        <v>291</v>
      </c>
      <c r="B417" s="74" t="s">
        <v>178</v>
      </c>
      <c r="C417" s="81">
        <v>36</v>
      </c>
    </row>
    <row r="418" spans="1:3" x14ac:dyDescent="0.2">
      <c r="A418" s="87" t="s">
        <v>291</v>
      </c>
      <c r="B418" s="74" t="s">
        <v>178</v>
      </c>
      <c r="C418" s="81">
        <v>36</v>
      </c>
    </row>
    <row r="419" spans="1:3" x14ac:dyDescent="0.2">
      <c r="A419" s="87" t="s">
        <v>291</v>
      </c>
      <c r="B419" s="74" t="s">
        <v>178</v>
      </c>
      <c r="C419" s="81">
        <v>36</v>
      </c>
    </row>
    <row r="420" spans="1:3" x14ac:dyDescent="0.2">
      <c r="A420" s="87" t="s">
        <v>291</v>
      </c>
      <c r="B420" s="74" t="s">
        <v>178</v>
      </c>
      <c r="C420" s="81">
        <v>36</v>
      </c>
    </row>
    <row r="421" spans="1:3" x14ac:dyDescent="0.2">
      <c r="A421" s="87" t="s">
        <v>291</v>
      </c>
      <c r="B421" s="74" t="s">
        <v>178</v>
      </c>
      <c r="C421" s="81">
        <v>36</v>
      </c>
    </row>
    <row r="422" spans="1:3" x14ac:dyDescent="0.2">
      <c r="A422" s="87" t="s">
        <v>291</v>
      </c>
      <c r="B422" s="74" t="s">
        <v>178</v>
      </c>
      <c r="C422" s="81">
        <v>36</v>
      </c>
    </row>
    <row r="423" spans="1:3" x14ac:dyDescent="0.2">
      <c r="A423" s="87" t="s">
        <v>291</v>
      </c>
      <c r="B423" s="74" t="s">
        <v>178</v>
      </c>
      <c r="C423" s="81">
        <v>36</v>
      </c>
    </row>
    <row r="424" spans="1:3" x14ac:dyDescent="0.2">
      <c r="A424" s="87" t="s">
        <v>291</v>
      </c>
      <c r="B424" s="74" t="s">
        <v>178</v>
      </c>
      <c r="C424" s="81">
        <v>36</v>
      </c>
    </row>
    <row r="425" spans="1:3" x14ac:dyDescent="0.2">
      <c r="A425" s="87" t="s">
        <v>291</v>
      </c>
      <c r="B425" s="74" t="s">
        <v>178</v>
      </c>
      <c r="C425" s="81">
        <v>36</v>
      </c>
    </row>
    <row r="426" spans="1:3" x14ac:dyDescent="0.2">
      <c r="A426" s="87" t="s">
        <v>291</v>
      </c>
      <c r="B426" s="74" t="s">
        <v>178</v>
      </c>
      <c r="C426" s="81">
        <v>36</v>
      </c>
    </row>
    <row r="427" spans="1:3" x14ac:dyDescent="0.2">
      <c r="A427" s="87" t="s">
        <v>291</v>
      </c>
      <c r="B427" s="74" t="s">
        <v>178</v>
      </c>
      <c r="C427" s="81">
        <v>36</v>
      </c>
    </row>
    <row r="428" spans="1:3" x14ac:dyDescent="0.2">
      <c r="A428" s="87" t="s">
        <v>291</v>
      </c>
      <c r="B428" s="74" t="s">
        <v>178</v>
      </c>
      <c r="C428" s="81">
        <v>36</v>
      </c>
    </row>
    <row r="429" spans="1:3" x14ac:dyDescent="0.2">
      <c r="A429" s="87" t="s">
        <v>291</v>
      </c>
      <c r="B429" s="74" t="s">
        <v>178</v>
      </c>
      <c r="C429" s="81">
        <v>36</v>
      </c>
    </row>
    <row r="430" spans="1:3" x14ac:dyDescent="0.2">
      <c r="A430" s="87" t="s">
        <v>291</v>
      </c>
      <c r="B430" s="74" t="s">
        <v>178</v>
      </c>
      <c r="C430" s="81">
        <v>36</v>
      </c>
    </row>
    <row r="431" spans="1:3" x14ac:dyDescent="0.2">
      <c r="A431" s="87" t="s">
        <v>291</v>
      </c>
      <c r="B431" s="74" t="s">
        <v>178</v>
      </c>
      <c r="C431" s="81">
        <v>36</v>
      </c>
    </row>
    <row r="432" spans="1:3" x14ac:dyDescent="0.2">
      <c r="A432" s="87" t="s">
        <v>291</v>
      </c>
      <c r="B432" s="74" t="s">
        <v>178</v>
      </c>
      <c r="C432" s="81">
        <v>36</v>
      </c>
    </row>
    <row r="433" spans="1:3" x14ac:dyDescent="0.2">
      <c r="A433" s="87" t="s">
        <v>291</v>
      </c>
      <c r="B433" s="74" t="s">
        <v>178</v>
      </c>
      <c r="C433" s="81">
        <v>36</v>
      </c>
    </row>
    <row r="434" spans="1:3" x14ac:dyDescent="0.2">
      <c r="A434" s="87" t="s">
        <v>291</v>
      </c>
      <c r="B434" s="74" t="s">
        <v>178</v>
      </c>
      <c r="C434" s="81">
        <v>36</v>
      </c>
    </row>
    <row r="435" spans="1:3" x14ac:dyDescent="0.2">
      <c r="A435" s="87" t="s">
        <v>291</v>
      </c>
      <c r="B435" s="74" t="s">
        <v>178</v>
      </c>
      <c r="C435" s="81">
        <v>36</v>
      </c>
    </row>
    <row r="436" spans="1:3" x14ac:dyDescent="0.2">
      <c r="A436" s="87" t="s">
        <v>291</v>
      </c>
      <c r="B436" s="74" t="s">
        <v>178</v>
      </c>
      <c r="C436" s="81">
        <v>36</v>
      </c>
    </row>
    <row r="437" spans="1:3" x14ac:dyDescent="0.2">
      <c r="A437" s="87" t="s">
        <v>291</v>
      </c>
      <c r="B437" s="74" t="s">
        <v>178</v>
      </c>
      <c r="C437" s="81">
        <v>36</v>
      </c>
    </row>
    <row r="438" spans="1:3" x14ac:dyDescent="0.2">
      <c r="A438" s="87" t="s">
        <v>291</v>
      </c>
      <c r="B438" s="74" t="s">
        <v>178</v>
      </c>
      <c r="C438" s="81">
        <v>36</v>
      </c>
    </row>
    <row r="439" spans="1:3" x14ac:dyDescent="0.2">
      <c r="A439" s="87" t="s">
        <v>291</v>
      </c>
      <c r="B439" s="74" t="s">
        <v>178</v>
      </c>
      <c r="C439" s="81">
        <v>36</v>
      </c>
    </row>
    <row r="440" spans="1:3" x14ac:dyDescent="0.2">
      <c r="A440" s="87" t="s">
        <v>291</v>
      </c>
      <c r="B440" s="74" t="s">
        <v>178</v>
      </c>
      <c r="C440" s="81">
        <v>36</v>
      </c>
    </row>
    <row r="441" spans="1:3" x14ac:dyDescent="0.2">
      <c r="A441" s="87" t="s">
        <v>291</v>
      </c>
      <c r="B441" s="74" t="s">
        <v>178</v>
      </c>
      <c r="C441" s="81">
        <v>36</v>
      </c>
    </row>
    <row r="442" spans="1:3" x14ac:dyDescent="0.2">
      <c r="A442" s="87" t="s">
        <v>291</v>
      </c>
      <c r="B442" s="74" t="s">
        <v>178</v>
      </c>
      <c r="C442" s="81">
        <v>36</v>
      </c>
    </row>
    <row r="443" spans="1:3" x14ac:dyDescent="0.2">
      <c r="A443" s="87" t="s">
        <v>291</v>
      </c>
      <c r="B443" s="74" t="s">
        <v>178</v>
      </c>
      <c r="C443" s="81">
        <v>36</v>
      </c>
    </row>
    <row r="444" spans="1:3" x14ac:dyDescent="0.2">
      <c r="A444" s="87" t="s">
        <v>291</v>
      </c>
      <c r="B444" s="74" t="s">
        <v>178</v>
      </c>
      <c r="C444" s="81">
        <v>36</v>
      </c>
    </row>
    <row r="445" spans="1:3" x14ac:dyDescent="0.2">
      <c r="A445" s="87" t="s">
        <v>291</v>
      </c>
      <c r="B445" s="74" t="s">
        <v>178</v>
      </c>
      <c r="C445" s="81">
        <v>36</v>
      </c>
    </row>
    <row r="446" spans="1:3" x14ac:dyDescent="0.2">
      <c r="A446" s="87" t="s">
        <v>291</v>
      </c>
      <c r="B446" s="74" t="s">
        <v>178</v>
      </c>
      <c r="C446" s="81">
        <v>36</v>
      </c>
    </row>
    <row r="447" spans="1:3" x14ac:dyDescent="0.2">
      <c r="A447" s="87" t="s">
        <v>291</v>
      </c>
      <c r="B447" s="74" t="s">
        <v>178</v>
      </c>
      <c r="C447" s="81">
        <v>36</v>
      </c>
    </row>
    <row r="448" spans="1:3" x14ac:dyDescent="0.2">
      <c r="A448" s="87" t="s">
        <v>291</v>
      </c>
      <c r="B448" s="74" t="s">
        <v>178</v>
      </c>
      <c r="C448" s="81">
        <v>36</v>
      </c>
    </row>
    <row r="449" spans="1:3" x14ac:dyDescent="0.2">
      <c r="A449" s="87" t="s">
        <v>291</v>
      </c>
      <c r="B449" s="74" t="s">
        <v>178</v>
      </c>
      <c r="C449" s="81">
        <v>36</v>
      </c>
    </row>
    <row r="450" spans="1:3" x14ac:dyDescent="0.2">
      <c r="A450" s="87" t="s">
        <v>291</v>
      </c>
      <c r="B450" s="74" t="s">
        <v>178</v>
      </c>
      <c r="C450" s="81">
        <v>36</v>
      </c>
    </row>
    <row r="451" spans="1:3" x14ac:dyDescent="0.2">
      <c r="A451" s="87" t="s">
        <v>291</v>
      </c>
      <c r="B451" s="74" t="s">
        <v>178</v>
      </c>
      <c r="C451" s="81">
        <v>36</v>
      </c>
    </row>
    <row r="452" spans="1:3" x14ac:dyDescent="0.2">
      <c r="A452" s="87" t="s">
        <v>291</v>
      </c>
      <c r="B452" s="74" t="s">
        <v>178</v>
      </c>
      <c r="C452" s="81">
        <v>36</v>
      </c>
    </row>
    <row r="453" spans="1:3" x14ac:dyDescent="0.2">
      <c r="A453" s="87" t="s">
        <v>291</v>
      </c>
      <c r="B453" s="74" t="s">
        <v>178</v>
      </c>
      <c r="C453" s="81">
        <v>36</v>
      </c>
    </row>
    <row r="454" spans="1:3" x14ac:dyDescent="0.2">
      <c r="A454" s="87" t="s">
        <v>291</v>
      </c>
      <c r="B454" s="74" t="s">
        <v>178</v>
      </c>
      <c r="C454" s="81">
        <v>36</v>
      </c>
    </row>
    <row r="455" spans="1:3" x14ac:dyDescent="0.2">
      <c r="A455" s="87" t="s">
        <v>291</v>
      </c>
      <c r="B455" s="74" t="s">
        <v>178</v>
      </c>
      <c r="C455" s="81">
        <v>36</v>
      </c>
    </row>
    <row r="456" spans="1:3" x14ac:dyDescent="0.2">
      <c r="A456" s="87" t="s">
        <v>291</v>
      </c>
      <c r="B456" s="74" t="s">
        <v>178</v>
      </c>
      <c r="C456" s="81">
        <v>36</v>
      </c>
    </row>
    <row r="457" spans="1:3" x14ac:dyDescent="0.2">
      <c r="A457" s="87" t="s">
        <v>291</v>
      </c>
      <c r="B457" s="74" t="s">
        <v>178</v>
      </c>
      <c r="C457" s="81">
        <v>36</v>
      </c>
    </row>
    <row r="458" spans="1:3" x14ac:dyDescent="0.2">
      <c r="A458" s="87" t="s">
        <v>291</v>
      </c>
      <c r="B458" s="74" t="s">
        <v>178</v>
      </c>
      <c r="C458" s="81">
        <v>36</v>
      </c>
    </row>
    <row r="459" spans="1:3" x14ac:dyDescent="0.2">
      <c r="A459" s="87" t="s">
        <v>291</v>
      </c>
      <c r="B459" s="74" t="s">
        <v>178</v>
      </c>
      <c r="C459" s="81">
        <v>36</v>
      </c>
    </row>
    <row r="460" spans="1:3" x14ac:dyDescent="0.2">
      <c r="A460" s="87" t="s">
        <v>291</v>
      </c>
      <c r="B460" s="74" t="s">
        <v>178</v>
      </c>
      <c r="C460" s="81">
        <v>36</v>
      </c>
    </row>
    <row r="461" spans="1:3" x14ac:dyDescent="0.2">
      <c r="A461" s="87" t="s">
        <v>291</v>
      </c>
      <c r="B461" s="74" t="s">
        <v>178</v>
      </c>
      <c r="C461" s="81">
        <v>36</v>
      </c>
    </row>
    <row r="462" spans="1:3" x14ac:dyDescent="0.2">
      <c r="A462" s="87" t="s">
        <v>291</v>
      </c>
      <c r="B462" s="74" t="s">
        <v>178</v>
      </c>
      <c r="C462" s="81">
        <v>36</v>
      </c>
    </row>
    <row r="463" spans="1:3" x14ac:dyDescent="0.2">
      <c r="A463" s="87" t="s">
        <v>291</v>
      </c>
      <c r="B463" s="74" t="s">
        <v>178</v>
      </c>
      <c r="C463" s="81">
        <v>36</v>
      </c>
    </row>
    <row r="464" spans="1:3" x14ac:dyDescent="0.2">
      <c r="A464" s="87" t="s">
        <v>291</v>
      </c>
      <c r="B464" s="74" t="s">
        <v>178</v>
      </c>
      <c r="C464" s="81">
        <v>36</v>
      </c>
    </row>
    <row r="465" spans="1:3" x14ac:dyDescent="0.2">
      <c r="A465" s="87" t="s">
        <v>291</v>
      </c>
      <c r="B465" s="74" t="s">
        <v>184</v>
      </c>
      <c r="C465" s="81">
        <f>2434.8*1.15</f>
        <v>2800.02</v>
      </c>
    </row>
    <row r="466" spans="1:3" x14ac:dyDescent="0.2">
      <c r="A466" s="87" t="s">
        <v>291</v>
      </c>
      <c r="B466" s="74" t="s">
        <v>184</v>
      </c>
      <c r="C466" s="81">
        <f>2434.8*1.15</f>
        <v>2800.02</v>
      </c>
    </row>
    <row r="467" spans="1:3" x14ac:dyDescent="0.2">
      <c r="A467" s="87" t="s">
        <v>291</v>
      </c>
      <c r="B467" s="74" t="s">
        <v>184</v>
      </c>
      <c r="C467" s="81">
        <f>2434.8*1.15</f>
        <v>2800.02</v>
      </c>
    </row>
    <row r="468" spans="1:3" x14ac:dyDescent="0.2">
      <c r="A468" s="87" t="s">
        <v>291</v>
      </c>
      <c r="B468" s="74" t="s">
        <v>184</v>
      </c>
      <c r="C468" s="81">
        <f>2434.8*1.15</f>
        <v>2800.02</v>
      </c>
    </row>
    <row r="469" spans="1:3" x14ac:dyDescent="0.2">
      <c r="A469" s="87" t="s">
        <v>291</v>
      </c>
      <c r="B469" s="74" t="s">
        <v>184</v>
      </c>
      <c r="C469" s="81">
        <f>2434.8*1.15</f>
        <v>2800.02</v>
      </c>
    </row>
    <row r="470" spans="1:3" x14ac:dyDescent="0.2">
      <c r="A470" s="87" t="s">
        <v>291</v>
      </c>
      <c r="B470" s="74" t="s">
        <v>185</v>
      </c>
      <c r="C470" s="81">
        <v>1173</v>
      </c>
    </row>
    <row r="471" spans="1:3" x14ac:dyDescent="0.2">
      <c r="A471" s="87" t="s">
        <v>291</v>
      </c>
      <c r="B471" s="74" t="s">
        <v>185</v>
      </c>
      <c r="C471" s="81">
        <v>1173</v>
      </c>
    </row>
    <row r="472" spans="1:3" x14ac:dyDescent="0.2">
      <c r="A472" s="87" t="s">
        <v>291</v>
      </c>
      <c r="B472" s="74" t="s">
        <v>185</v>
      </c>
      <c r="C472" s="81">
        <v>1173</v>
      </c>
    </row>
    <row r="473" spans="1:3" x14ac:dyDescent="0.2">
      <c r="A473" s="87" t="s">
        <v>291</v>
      </c>
      <c r="B473" s="74" t="s">
        <v>185</v>
      </c>
      <c r="C473" s="81">
        <v>1173</v>
      </c>
    </row>
    <row r="474" spans="1:3" x14ac:dyDescent="0.2">
      <c r="A474" s="87" t="s">
        <v>291</v>
      </c>
      <c r="B474" s="74" t="s">
        <v>185</v>
      </c>
      <c r="C474" s="81">
        <v>1173</v>
      </c>
    </row>
    <row r="475" spans="1:3" x14ac:dyDescent="0.2">
      <c r="A475" s="87" t="s">
        <v>291</v>
      </c>
      <c r="B475" s="74" t="s">
        <v>185</v>
      </c>
      <c r="C475" s="81">
        <v>1173</v>
      </c>
    </row>
    <row r="476" spans="1:3" x14ac:dyDescent="0.2">
      <c r="A476" s="87" t="s">
        <v>291</v>
      </c>
      <c r="B476" s="74" t="s">
        <v>185</v>
      </c>
      <c r="C476" s="81">
        <v>1173</v>
      </c>
    </row>
    <row r="477" spans="1:3" x14ac:dyDescent="0.2">
      <c r="A477" s="87" t="s">
        <v>291</v>
      </c>
      <c r="B477" s="74" t="s">
        <v>185</v>
      </c>
      <c r="C477" s="81">
        <v>1173</v>
      </c>
    </row>
    <row r="478" spans="1:3" x14ac:dyDescent="0.2">
      <c r="A478" s="87" t="s">
        <v>291</v>
      </c>
      <c r="B478" s="74" t="s">
        <v>185</v>
      </c>
      <c r="C478" s="81">
        <v>1173</v>
      </c>
    </row>
    <row r="479" spans="1:3" x14ac:dyDescent="0.2">
      <c r="A479" s="87" t="s">
        <v>291</v>
      </c>
      <c r="B479" s="74" t="s">
        <v>185</v>
      </c>
      <c r="C479" s="81">
        <v>1173</v>
      </c>
    </row>
    <row r="480" spans="1:3" x14ac:dyDescent="0.2">
      <c r="A480" s="87" t="s">
        <v>291</v>
      </c>
      <c r="B480" s="74" t="s">
        <v>185</v>
      </c>
      <c r="C480" s="81">
        <v>1173</v>
      </c>
    </row>
    <row r="481" spans="1:3" x14ac:dyDescent="0.2">
      <c r="A481" s="87" t="s">
        <v>291</v>
      </c>
      <c r="B481" s="74" t="s">
        <v>185</v>
      </c>
      <c r="C481" s="81">
        <v>1173</v>
      </c>
    </row>
    <row r="482" spans="1:3" x14ac:dyDescent="0.2">
      <c r="A482" s="87" t="s">
        <v>291</v>
      </c>
      <c r="B482" s="74" t="s">
        <v>185</v>
      </c>
      <c r="C482" s="81">
        <v>1173</v>
      </c>
    </row>
    <row r="483" spans="1:3" x14ac:dyDescent="0.2">
      <c r="A483" s="87" t="s">
        <v>291</v>
      </c>
      <c r="B483" s="74" t="s">
        <v>185</v>
      </c>
      <c r="C483" s="81">
        <v>1173</v>
      </c>
    </row>
    <row r="484" spans="1:3" x14ac:dyDescent="0.2">
      <c r="A484" s="87" t="s">
        <v>291</v>
      </c>
      <c r="B484" s="74" t="s">
        <v>185</v>
      </c>
      <c r="C484" s="81">
        <v>1173</v>
      </c>
    </row>
    <row r="485" spans="1:3" x14ac:dyDescent="0.2">
      <c r="A485" s="87" t="s">
        <v>291</v>
      </c>
      <c r="B485" s="74" t="s">
        <v>185</v>
      </c>
      <c r="C485" s="81">
        <v>1173</v>
      </c>
    </row>
    <row r="486" spans="1:3" x14ac:dyDescent="0.2">
      <c r="A486" s="87" t="s">
        <v>291</v>
      </c>
      <c r="B486" s="74" t="s">
        <v>185</v>
      </c>
      <c r="C486" s="81">
        <v>1173</v>
      </c>
    </row>
    <row r="487" spans="1:3" x14ac:dyDescent="0.2">
      <c r="A487" s="87" t="s">
        <v>291</v>
      </c>
      <c r="B487" s="74" t="s">
        <v>185</v>
      </c>
      <c r="C487" s="81">
        <v>1173</v>
      </c>
    </row>
    <row r="488" spans="1:3" x14ac:dyDescent="0.2">
      <c r="A488" s="87" t="s">
        <v>291</v>
      </c>
      <c r="B488" s="74" t="s">
        <v>185</v>
      </c>
      <c r="C488" s="81">
        <v>1173</v>
      </c>
    </row>
    <row r="489" spans="1:3" x14ac:dyDescent="0.2">
      <c r="A489" s="87" t="s">
        <v>291</v>
      </c>
      <c r="B489" s="74" t="s">
        <v>185</v>
      </c>
      <c r="C489" s="81">
        <v>1173</v>
      </c>
    </row>
    <row r="490" spans="1:3" x14ac:dyDescent="0.2">
      <c r="A490" s="87" t="s">
        <v>291</v>
      </c>
      <c r="B490" s="74" t="s">
        <v>185</v>
      </c>
      <c r="C490" s="81">
        <v>1173</v>
      </c>
    </row>
    <row r="491" spans="1:3" x14ac:dyDescent="0.2">
      <c r="A491" s="87" t="s">
        <v>291</v>
      </c>
      <c r="B491" s="74" t="s">
        <v>185</v>
      </c>
      <c r="C491" s="81">
        <v>1173</v>
      </c>
    </row>
    <row r="492" spans="1:3" x14ac:dyDescent="0.2">
      <c r="A492" s="87" t="s">
        <v>291</v>
      </c>
      <c r="B492" s="74" t="s">
        <v>185</v>
      </c>
      <c r="C492" s="81">
        <v>1173</v>
      </c>
    </row>
    <row r="493" spans="1:3" x14ac:dyDescent="0.2">
      <c r="A493" s="87" t="s">
        <v>291</v>
      </c>
      <c r="B493" s="74" t="s">
        <v>185</v>
      </c>
      <c r="C493" s="81">
        <v>1173</v>
      </c>
    </row>
    <row r="494" spans="1:3" x14ac:dyDescent="0.2">
      <c r="A494" s="87" t="s">
        <v>291</v>
      </c>
      <c r="B494" s="74" t="s">
        <v>185</v>
      </c>
      <c r="C494" s="81">
        <v>1173</v>
      </c>
    </row>
    <row r="495" spans="1:3" x14ac:dyDescent="0.2">
      <c r="A495" s="87" t="s">
        <v>291</v>
      </c>
      <c r="B495" s="74" t="s">
        <v>185</v>
      </c>
      <c r="C495" s="81">
        <v>1173</v>
      </c>
    </row>
    <row r="496" spans="1:3" x14ac:dyDescent="0.2">
      <c r="A496" s="87" t="s">
        <v>291</v>
      </c>
      <c r="B496" s="74" t="s">
        <v>185</v>
      </c>
      <c r="C496" s="81">
        <v>1173</v>
      </c>
    </row>
    <row r="497" spans="1:3" x14ac:dyDescent="0.2">
      <c r="A497" s="87" t="s">
        <v>291</v>
      </c>
      <c r="B497" s="74" t="s">
        <v>185</v>
      </c>
      <c r="C497" s="81">
        <v>1173</v>
      </c>
    </row>
    <row r="498" spans="1:3" x14ac:dyDescent="0.2">
      <c r="A498" s="87" t="s">
        <v>291</v>
      </c>
      <c r="B498" s="74" t="s">
        <v>185</v>
      </c>
      <c r="C498" s="81">
        <v>1173</v>
      </c>
    </row>
    <row r="499" spans="1:3" x14ac:dyDescent="0.2">
      <c r="A499" s="87" t="s">
        <v>291</v>
      </c>
      <c r="B499" s="74" t="s">
        <v>185</v>
      </c>
      <c r="C499" s="81">
        <v>1173</v>
      </c>
    </row>
    <row r="500" spans="1:3" x14ac:dyDescent="0.2">
      <c r="A500" s="87" t="s">
        <v>291</v>
      </c>
      <c r="B500" s="74" t="s">
        <v>185</v>
      </c>
      <c r="C500" s="81">
        <v>1173</v>
      </c>
    </row>
    <row r="501" spans="1:3" x14ac:dyDescent="0.2">
      <c r="A501" s="87" t="s">
        <v>291</v>
      </c>
      <c r="B501" s="74" t="s">
        <v>185</v>
      </c>
      <c r="C501" s="81">
        <v>1173</v>
      </c>
    </row>
    <row r="502" spans="1:3" x14ac:dyDescent="0.2">
      <c r="A502" s="87" t="s">
        <v>291</v>
      </c>
      <c r="B502" s="74" t="s">
        <v>185</v>
      </c>
      <c r="C502" s="81">
        <v>1173</v>
      </c>
    </row>
    <row r="503" spans="1:3" x14ac:dyDescent="0.2">
      <c r="A503" s="87" t="s">
        <v>291</v>
      </c>
      <c r="B503" s="74" t="s">
        <v>185</v>
      </c>
      <c r="C503" s="81">
        <v>1173</v>
      </c>
    </row>
    <row r="504" spans="1:3" x14ac:dyDescent="0.2">
      <c r="A504" s="87" t="s">
        <v>291</v>
      </c>
      <c r="B504" s="74" t="s">
        <v>185</v>
      </c>
      <c r="C504" s="81">
        <v>1173</v>
      </c>
    </row>
    <row r="505" spans="1:3" x14ac:dyDescent="0.2">
      <c r="A505" s="87" t="s">
        <v>291</v>
      </c>
      <c r="B505" s="74" t="s">
        <v>185</v>
      </c>
      <c r="C505" s="81">
        <v>1173</v>
      </c>
    </row>
    <row r="506" spans="1:3" x14ac:dyDescent="0.2">
      <c r="A506" s="87" t="s">
        <v>291</v>
      </c>
      <c r="B506" s="74" t="s">
        <v>185</v>
      </c>
      <c r="C506" s="81">
        <v>1173</v>
      </c>
    </row>
    <row r="507" spans="1:3" x14ac:dyDescent="0.2">
      <c r="A507" s="87" t="s">
        <v>291</v>
      </c>
      <c r="B507" s="74" t="s">
        <v>185</v>
      </c>
      <c r="C507" s="81">
        <v>1173</v>
      </c>
    </row>
    <row r="508" spans="1:3" x14ac:dyDescent="0.2">
      <c r="A508" s="87" t="s">
        <v>291</v>
      </c>
      <c r="B508" s="74" t="s">
        <v>185</v>
      </c>
      <c r="C508" s="81">
        <v>1173</v>
      </c>
    </row>
    <row r="509" spans="1:3" x14ac:dyDescent="0.2">
      <c r="A509" s="87" t="s">
        <v>291</v>
      </c>
      <c r="B509" s="74" t="s">
        <v>185</v>
      </c>
      <c r="C509" s="81">
        <v>1173</v>
      </c>
    </row>
    <row r="510" spans="1:3" x14ac:dyDescent="0.2">
      <c r="A510" s="87" t="s">
        <v>291</v>
      </c>
      <c r="B510" s="74" t="s">
        <v>185</v>
      </c>
      <c r="C510" s="81">
        <v>1030.54</v>
      </c>
    </row>
    <row r="511" spans="1:3" x14ac:dyDescent="0.2">
      <c r="A511" s="87" t="s">
        <v>291</v>
      </c>
      <c r="B511" s="74" t="s">
        <v>185</v>
      </c>
      <c r="C511" s="81">
        <v>1030.54</v>
      </c>
    </row>
    <row r="512" spans="1:3" x14ac:dyDescent="0.2">
      <c r="A512" s="87" t="s">
        <v>291</v>
      </c>
      <c r="B512" s="74" t="s">
        <v>185</v>
      </c>
      <c r="C512" s="81">
        <v>1030.54</v>
      </c>
    </row>
    <row r="513" spans="1:3" x14ac:dyDescent="0.2">
      <c r="A513" s="87" t="s">
        <v>291</v>
      </c>
      <c r="B513" s="74" t="s">
        <v>168</v>
      </c>
      <c r="C513" s="81">
        <v>575</v>
      </c>
    </row>
    <row r="514" spans="1:3" x14ac:dyDescent="0.2">
      <c r="A514" s="87" t="s">
        <v>291</v>
      </c>
      <c r="B514" s="74" t="s">
        <v>168</v>
      </c>
      <c r="C514" s="81">
        <v>575</v>
      </c>
    </row>
    <row r="515" spans="1:3" x14ac:dyDescent="0.2">
      <c r="A515" s="87" t="s">
        <v>291</v>
      </c>
      <c r="B515" s="74" t="s">
        <v>168</v>
      </c>
      <c r="C515" s="81">
        <v>575</v>
      </c>
    </row>
    <row r="516" spans="1:3" x14ac:dyDescent="0.2">
      <c r="A516" s="87" t="s">
        <v>291</v>
      </c>
      <c r="B516" s="74" t="s">
        <v>168</v>
      </c>
      <c r="C516" s="81">
        <v>575</v>
      </c>
    </row>
    <row r="517" spans="1:3" x14ac:dyDescent="0.2">
      <c r="A517" s="87" t="s">
        <v>291</v>
      </c>
      <c r="B517" s="74" t="s">
        <v>168</v>
      </c>
      <c r="C517" s="81">
        <v>575</v>
      </c>
    </row>
    <row r="518" spans="1:3" x14ac:dyDescent="0.2">
      <c r="A518" s="87" t="s">
        <v>291</v>
      </c>
      <c r="B518" s="74" t="s">
        <v>168</v>
      </c>
      <c r="C518" s="81">
        <v>575</v>
      </c>
    </row>
    <row r="519" spans="1:3" x14ac:dyDescent="0.2">
      <c r="A519" s="87" t="s">
        <v>291</v>
      </c>
      <c r="B519" s="74" t="s">
        <v>168</v>
      </c>
      <c r="C519" s="81">
        <v>575</v>
      </c>
    </row>
    <row r="520" spans="1:3" x14ac:dyDescent="0.2">
      <c r="A520" s="87" t="s">
        <v>291</v>
      </c>
      <c r="B520" s="74" t="s">
        <v>168</v>
      </c>
      <c r="C520" s="81">
        <v>575</v>
      </c>
    </row>
    <row r="521" spans="1:3" x14ac:dyDescent="0.2">
      <c r="A521" s="87" t="s">
        <v>291</v>
      </c>
      <c r="B521" s="74" t="s">
        <v>168</v>
      </c>
      <c r="C521" s="81">
        <v>575</v>
      </c>
    </row>
    <row r="522" spans="1:3" x14ac:dyDescent="0.2">
      <c r="A522" s="87" t="s">
        <v>291</v>
      </c>
      <c r="B522" s="74" t="s">
        <v>186</v>
      </c>
      <c r="C522" s="81">
        <v>581.9</v>
      </c>
    </row>
    <row r="523" spans="1:3" x14ac:dyDescent="0.2">
      <c r="A523" s="87" t="s">
        <v>291</v>
      </c>
      <c r="B523" s="74" t="s">
        <v>186</v>
      </c>
      <c r="C523" s="81">
        <v>581.9</v>
      </c>
    </row>
    <row r="524" spans="1:3" x14ac:dyDescent="0.2">
      <c r="A524" s="87" t="s">
        <v>291</v>
      </c>
      <c r="B524" s="74" t="s">
        <v>186</v>
      </c>
      <c r="C524" s="81">
        <v>581.9</v>
      </c>
    </row>
    <row r="525" spans="1:3" x14ac:dyDescent="0.2">
      <c r="A525" s="87" t="s">
        <v>291</v>
      </c>
      <c r="B525" s="74" t="s">
        <v>186</v>
      </c>
      <c r="C525" s="81">
        <v>581.9</v>
      </c>
    </row>
    <row r="526" spans="1:3" x14ac:dyDescent="0.2">
      <c r="A526" s="87" t="s">
        <v>291</v>
      </c>
      <c r="B526" s="74" t="s">
        <v>186</v>
      </c>
      <c r="C526" s="81">
        <v>581.9</v>
      </c>
    </row>
    <row r="527" spans="1:3" x14ac:dyDescent="0.2">
      <c r="A527" s="87" t="s">
        <v>291</v>
      </c>
      <c r="B527" s="74" t="s">
        <v>186</v>
      </c>
      <c r="C527" s="81">
        <v>581.9</v>
      </c>
    </row>
    <row r="528" spans="1:3" x14ac:dyDescent="0.2">
      <c r="A528" s="87" t="s">
        <v>291</v>
      </c>
      <c r="B528" s="74" t="s">
        <v>186</v>
      </c>
      <c r="C528" s="81">
        <v>581.9</v>
      </c>
    </row>
    <row r="529" spans="1:3" x14ac:dyDescent="0.2">
      <c r="A529" s="87" t="s">
        <v>291</v>
      </c>
      <c r="B529" s="74" t="s">
        <v>186</v>
      </c>
      <c r="C529" s="81">
        <v>581.9</v>
      </c>
    </row>
    <row r="530" spans="1:3" x14ac:dyDescent="0.2">
      <c r="A530" s="87" t="s">
        <v>291</v>
      </c>
      <c r="B530" s="74" t="s">
        <v>186</v>
      </c>
      <c r="C530" s="81">
        <v>581.9</v>
      </c>
    </row>
    <row r="531" spans="1:3" x14ac:dyDescent="0.2">
      <c r="A531" s="87" t="s">
        <v>291</v>
      </c>
      <c r="B531" s="74" t="s">
        <v>186</v>
      </c>
      <c r="C531" s="81">
        <v>581.9</v>
      </c>
    </row>
    <row r="532" spans="1:3" x14ac:dyDescent="0.2">
      <c r="A532" s="87" t="s">
        <v>291</v>
      </c>
      <c r="B532" s="74" t="s">
        <v>186</v>
      </c>
      <c r="C532" s="81">
        <v>581.9</v>
      </c>
    </row>
    <row r="533" spans="1:3" x14ac:dyDescent="0.2">
      <c r="A533" s="87" t="s">
        <v>291</v>
      </c>
      <c r="B533" s="74" t="s">
        <v>186</v>
      </c>
      <c r="C533" s="81">
        <v>581.9</v>
      </c>
    </row>
    <row r="534" spans="1:3" x14ac:dyDescent="0.2">
      <c r="A534" s="87" t="s">
        <v>291</v>
      </c>
      <c r="B534" s="74" t="s">
        <v>186</v>
      </c>
      <c r="C534" s="81">
        <v>581.9</v>
      </c>
    </row>
    <row r="535" spans="1:3" x14ac:dyDescent="0.2">
      <c r="A535" s="87" t="s">
        <v>291</v>
      </c>
      <c r="B535" s="74" t="s">
        <v>186</v>
      </c>
      <c r="C535" s="81">
        <v>581.9</v>
      </c>
    </row>
    <row r="536" spans="1:3" x14ac:dyDescent="0.2">
      <c r="A536" s="87" t="s">
        <v>291</v>
      </c>
      <c r="B536" s="74" t="s">
        <v>186</v>
      </c>
      <c r="C536" s="81">
        <v>581.9</v>
      </c>
    </row>
    <row r="537" spans="1:3" x14ac:dyDescent="0.2">
      <c r="A537" s="87" t="s">
        <v>291</v>
      </c>
      <c r="B537" s="74" t="s">
        <v>186</v>
      </c>
      <c r="C537" s="81">
        <v>581.9</v>
      </c>
    </row>
    <row r="538" spans="1:3" x14ac:dyDescent="0.2">
      <c r="A538" s="87" t="s">
        <v>291</v>
      </c>
      <c r="B538" s="74" t="s">
        <v>186</v>
      </c>
      <c r="C538" s="81">
        <v>581.9</v>
      </c>
    </row>
    <row r="539" spans="1:3" x14ac:dyDescent="0.2">
      <c r="A539" s="87" t="s">
        <v>291</v>
      </c>
      <c r="B539" s="74" t="s">
        <v>185</v>
      </c>
      <c r="C539" s="81">
        <v>1173</v>
      </c>
    </row>
    <row r="540" spans="1:3" x14ac:dyDescent="0.2">
      <c r="A540" s="87" t="s">
        <v>291</v>
      </c>
      <c r="B540" s="74" t="s">
        <v>187</v>
      </c>
      <c r="C540" s="81">
        <v>1897.5</v>
      </c>
    </row>
    <row r="541" spans="1:3" x14ac:dyDescent="0.2">
      <c r="A541" s="87" t="s">
        <v>291</v>
      </c>
      <c r="B541" s="74" t="s">
        <v>188</v>
      </c>
      <c r="C541" s="81">
        <v>1846.9</v>
      </c>
    </row>
    <row r="542" spans="1:3" x14ac:dyDescent="0.2">
      <c r="A542" s="87" t="s">
        <v>291</v>
      </c>
      <c r="B542" s="74" t="s">
        <v>188</v>
      </c>
      <c r="C542" s="81">
        <v>1846.9</v>
      </c>
    </row>
    <row r="543" spans="1:3" x14ac:dyDescent="0.2">
      <c r="A543" s="87" t="s">
        <v>291</v>
      </c>
      <c r="B543" s="74" t="s">
        <v>188</v>
      </c>
      <c r="C543" s="81">
        <v>1846.9</v>
      </c>
    </row>
    <row r="544" spans="1:3" x14ac:dyDescent="0.2">
      <c r="A544" s="87" t="s">
        <v>291</v>
      </c>
      <c r="B544" s="74" t="s">
        <v>188</v>
      </c>
      <c r="C544" s="81">
        <v>1846.9</v>
      </c>
    </row>
    <row r="545" spans="1:3" x14ac:dyDescent="0.2">
      <c r="A545" s="87" t="s">
        <v>291</v>
      </c>
      <c r="B545" s="74" t="s">
        <v>188</v>
      </c>
      <c r="C545" s="81">
        <v>1846.9</v>
      </c>
    </row>
    <row r="546" spans="1:3" x14ac:dyDescent="0.2">
      <c r="A546" s="87" t="s">
        <v>291</v>
      </c>
      <c r="B546" s="74" t="s">
        <v>188</v>
      </c>
      <c r="C546" s="81">
        <v>1846.9</v>
      </c>
    </row>
    <row r="547" spans="1:3" x14ac:dyDescent="0.2">
      <c r="A547" s="87" t="s">
        <v>291</v>
      </c>
      <c r="B547" s="74" t="s">
        <v>188</v>
      </c>
      <c r="C547" s="81">
        <v>1846.9</v>
      </c>
    </row>
    <row r="548" spans="1:3" x14ac:dyDescent="0.2">
      <c r="A548" s="87" t="s">
        <v>291</v>
      </c>
      <c r="B548" s="74" t="s">
        <v>188</v>
      </c>
      <c r="C548" s="81">
        <v>1846.9</v>
      </c>
    </row>
    <row r="549" spans="1:3" x14ac:dyDescent="0.2">
      <c r="A549" s="87" t="s">
        <v>291</v>
      </c>
      <c r="B549" s="74" t="s">
        <v>188</v>
      </c>
      <c r="C549" s="81">
        <v>1846.9</v>
      </c>
    </row>
    <row r="550" spans="1:3" x14ac:dyDescent="0.2">
      <c r="A550" s="87" t="s">
        <v>291</v>
      </c>
      <c r="B550" s="74" t="s">
        <v>188</v>
      </c>
      <c r="C550" s="81">
        <v>1846.9</v>
      </c>
    </row>
    <row r="551" spans="1:3" x14ac:dyDescent="0.2">
      <c r="A551" s="87" t="s">
        <v>291</v>
      </c>
      <c r="B551" s="74" t="s">
        <v>174</v>
      </c>
      <c r="C551" s="81">
        <v>391</v>
      </c>
    </row>
    <row r="552" spans="1:3" x14ac:dyDescent="0.2">
      <c r="A552" s="87" t="s">
        <v>291</v>
      </c>
      <c r="B552" s="74" t="s">
        <v>189</v>
      </c>
      <c r="C552" s="81">
        <v>810.75</v>
      </c>
    </row>
    <row r="553" spans="1:3" x14ac:dyDescent="0.2">
      <c r="A553" s="87" t="s">
        <v>291</v>
      </c>
      <c r="B553" s="74" t="s">
        <v>189</v>
      </c>
      <c r="C553" s="81">
        <v>810.75</v>
      </c>
    </row>
    <row r="554" spans="1:3" x14ac:dyDescent="0.2">
      <c r="A554" s="87" t="s">
        <v>291</v>
      </c>
      <c r="B554" s="74" t="s">
        <v>190</v>
      </c>
      <c r="C554" s="81">
        <v>1339.75</v>
      </c>
    </row>
    <row r="555" spans="1:3" x14ac:dyDescent="0.2">
      <c r="A555" s="87" t="s">
        <v>291</v>
      </c>
      <c r="B555" s="74" t="s">
        <v>190</v>
      </c>
      <c r="C555" s="81">
        <v>1339.75</v>
      </c>
    </row>
    <row r="556" spans="1:3" x14ac:dyDescent="0.2">
      <c r="A556" s="87" t="s">
        <v>291</v>
      </c>
      <c r="B556" s="74" t="s">
        <v>191</v>
      </c>
      <c r="C556" s="81">
        <v>1624.95</v>
      </c>
    </row>
    <row r="557" spans="1:3" x14ac:dyDescent="0.2">
      <c r="A557" s="87" t="s">
        <v>291</v>
      </c>
      <c r="B557" s="74" t="s">
        <v>192</v>
      </c>
      <c r="C557" s="81">
        <v>339.25</v>
      </c>
    </row>
    <row r="558" spans="1:3" x14ac:dyDescent="0.2">
      <c r="A558" s="87" t="s">
        <v>291</v>
      </c>
      <c r="B558" s="74" t="s">
        <v>192</v>
      </c>
      <c r="C558" s="81">
        <v>339.25</v>
      </c>
    </row>
    <row r="559" spans="1:3" x14ac:dyDescent="0.2">
      <c r="A559" s="87" t="s">
        <v>291</v>
      </c>
      <c r="B559" s="74" t="s">
        <v>192</v>
      </c>
      <c r="C559" s="81">
        <v>339.25</v>
      </c>
    </row>
    <row r="560" spans="1:3" x14ac:dyDescent="0.2">
      <c r="A560" s="87" t="s">
        <v>291</v>
      </c>
      <c r="B560" s="74" t="s">
        <v>192</v>
      </c>
      <c r="C560" s="81">
        <v>339.25</v>
      </c>
    </row>
    <row r="561" spans="1:3" x14ac:dyDescent="0.2">
      <c r="A561" s="87" t="s">
        <v>291</v>
      </c>
      <c r="B561" s="74" t="s">
        <v>192</v>
      </c>
      <c r="C561" s="81">
        <v>339.25</v>
      </c>
    </row>
    <row r="562" spans="1:3" x14ac:dyDescent="0.2">
      <c r="A562" s="87" t="s">
        <v>291</v>
      </c>
      <c r="B562" s="74" t="s">
        <v>192</v>
      </c>
      <c r="C562" s="81">
        <v>339.25</v>
      </c>
    </row>
    <row r="563" spans="1:3" x14ac:dyDescent="0.2">
      <c r="A563" s="87" t="s">
        <v>291</v>
      </c>
      <c r="B563" s="74" t="s">
        <v>192</v>
      </c>
      <c r="C563" s="81">
        <v>339.25</v>
      </c>
    </row>
    <row r="564" spans="1:3" x14ac:dyDescent="0.2">
      <c r="A564" s="87" t="s">
        <v>291</v>
      </c>
      <c r="B564" s="74" t="s">
        <v>192</v>
      </c>
      <c r="C564" s="81">
        <v>339.25</v>
      </c>
    </row>
    <row r="565" spans="1:3" x14ac:dyDescent="0.2">
      <c r="A565" s="87" t="s">
        <v>291</v>
      </c>
      <c r="B565" s="74" t="s">
        <v>192</v>
      </c>
      <c r="C565" s="81">
        <v>339.25</v>
      </c>
    </row>
    <row r="566" spans="1:3" x14ac:dyDescent="0.2">
      <c r="A566" s="87" t="s">
        <v>291</v>
      </c>
      <c r="B566" s="74" t="s">
        <v>192</v>
      </c>
      <c r="C566" s="81">
        <v>339.25</v>
      </c>
    </row>
    <row r="567" spans="1:3" x14ac:dyDescent="0.2">
      <c r="A567" s="87" t="s">
        <v>291</v>
      </c>
      <c r="B567" s="74" t="s">
        <v>192</v>
      </c>
      <c r="C567" s="81">
        <v>339.25</v>
      </c>
    </row>
    <row r="568" spans="1:3" x14ac:dyDescent="0.2">
      <c r="A568" s="87" t="s">
        <v>291</v>
      </c>
      <c r="B568" s="74" t="s">
        <v>192</v>
      </c>
      <c r="C568" s="81">
        <v>339.25</v>
      </c>
    </row>
    <row r="569" spans="1:3" x14ac:dyDescent="0.2">
      <c r="A569" s="87" t="s">
        <v>291</v>
      </c>
      <c r="B569" s="74" t="s">
        <v>192</v>
      </c>
      <c r="C569" s="81">
        <v>339.25</v>
      </c>
    </row>
    <row r="570" spans="1:3" x14ac:dyDescent="0.2">
      <c r="A570" s="87" t="s">
        <v>291</v>
      </c>
      <c r="B570" s="74" t="s">
        <v>192</v>
      </c>
      <c r="C570" s="81">
        <v>339.25</v>
      </c>
    </row>
    <row r="571" spans="1:3" x14ac:dyDescent="0.2">
      <c r="A571" s="87" t="s">
        <v>291</v>
      </c>
      <c r="B571" s="74" t="s">
        <v>192</v>
      </c>
      <c r="C571" s="81">
        <v>339.25</v>
      </c>
    </row>
    <row r="572" spans="1:3" x14ac:dyDescent="0.2">
      <c r="A572" s="87" t="s">
        <v>291</v>
      </c>
      <c r="B572" s="74" t="s">
        <v>192</v>
      </c>
      <c r="C572" s="81">
        <v>339.25</v>
      </c>
    </row>
    <row r="573" spans="1:3" x14ac:dyDescent="0.2">
      <c r="A573" s="87" t="s">
        <v>291</v>
      </c>
      <c r="B573" s="74" t="s">
        <v>192</v>
      </c>
      <c r="C573" s="81">
        <v>339.25</v>
      </c>
    </row>
    <row r="574" spans="1:3" x14ac:dyDescent="0.2">
      <c r="A574" s="87" t="s">
        <v>291</v>
      </c>
      <c r="B574" s="74" t="s">
        <v>192</v>
      </c>
      <c r="C574" s="81">
        <v>339.25</v>
      </c>
    </row>
    <row r="575" spans="1:3" x14ac:dyDescent="0.2">
      <c r="A575" s="87" t="s">
        <v>291</v>
      </c>
      <c r="B575" s="74" t="s">
        <v>192</v>
      </c>
      <c r="C575" s="81">
        <v>339.25</v>
      </c>
    </row>
    <row r="576" spans="1:3" x14ac:dyDescent="0.2">
      <c r="A576" s="87" t="s">
        <v>291</v>
      </c>
      <c r="B576" s="74" t="s">
        <v>192</v>
      </c>
      <c r="C576" s="81">
        <v>339.25</v>
      </c>
    </row>
    <row r="577" spans="1:3" x14ac:dyDescent="0.2">
      <c r="A577" s="87" t="s">
        <v>291</v>
      </c>
      <c r="B577" s="74" t="s">
        <v>192</v>
      </c>
      <c r="C577" s="81">
        <v>339.25</v>
      </c>
    </row>
    <row r="578" spans="1:3" x14ac:dyDescent="0.2">
      <c r="A578" s="87" t="s">
        <v>291</v>
      </c>
      <c r="B578" s="74" t="s">
        <v>192</v>
      </c>
      <c r="C578" s="81">
        <v>339.25</v>
      </c>
    </row>
    <row r="579" spans="1:3" x14ac:dyDescent="0.2">
      <c r="A579" s="87" t="s">
        <v>291</v>
      </c>
      <c r="B579" s="74" t="s">
        <v>192</v>
      </c>
      <c r="C579" s="81">
        <v>339.25</v>
      </c>
    </row>
    <row r="580" spans="1:3" x14ac:dyDescent="0.2">
      <c r="A580" s="87" t="s">
        <v>291</v>
      </c>
      <c r="B580" s="74" t="s">
        <v>192</v>
      </c>
      <c r="C580" s="81">
        <v>339.25</v>
      </c>
    </row>
    <row r="581" spans="1:3" x14ac:dyDescent="0.2">
      <c r="A581" s="87" t="s">
        <v>291</v>
      </c>
      <c r="B581" s="74" t="s">
        <v>192</v>
      </c>
      <c r="C581" s="81">
        <v>339.25</v>
      </c>
    </row>
    <row r="582" spans="1:3" x14ac:dyDescent="0.2">
      <c r="A582" s="87" t="s">
        <v>291</v>
      </c>
      <c r="B582" s="74" t="s">
        <v>192</v>
      </c>
      <c r="C582" s="81">
        <v>339.25</v>
      </c>
    </row>
    <row r="583" spans="1:3" x14ac:dyDescent="0.2">
      <c r="A583" s="87" t="s">
        <v>291</v>
      </c>
      <c r="B583" s="74" t="s">
        <v>192</v>
      </c>
      <c r="C583" s="81">
        <v>339.25</v>
      </c>
    </row>
    <row r="584" spans="1:3" x14ac:dyDescent="0.2">
      <c r="A584" s="87" t="s">
        <v>291</v>
      </c>
      <c r="B584" s="74" t="s">
        <v>185</v>
      </c>
      <c r="C584" s="81">
        <v>1173</v>
      </c>
    </row>
    <row r="585" spans="1:3" x14ac:dyDescent="0.2">
      <c r="A585" s="87" t="s">
        <v>291</v>
      </c>
      <c r="B585" s="74" t="s">
        <v>185</v>
      </c>
      <c r="C585" s="81">
        <v>1173</v>
      </c>
    </row>
    <row r="586" spans="1:3" x14ac:dyDescent="0.2">
      <c r="A586" s="87" t="s">
        <v>291</v>
      </c>
      <c r="B586" s="74" t="s">
        <v>185</v>
      </c>
      <c r="C586" s="81">
        <v>1173</v>
      </c>
    </row>
    <row r="587" spans="1:3" x14ac:dyDescent="0.2">
      <c r="A587" s="87" t="s">
        <v>291</v>
      </c>
      <c r="B587" s="74" t="s">
        <v>185</v>
      </c>
      <c r="C587" s="81">
        <v>1173</v>
      </c>
    </row>
    <row r="588" spans="1:3" x14ac:dyDescent="0.2">
      <c r="A588" s="87" t="s">
        <v>291</v>
      </c>
      <c r="B588" s="74" t="s">
        <v>185</v>
      </c>
      <c r="C588" s="81">
        <v>1173</v>
      </c>
    </row>
    <row r="589" spans="1:3" x14ac:dyDescent="0.2">
      <c r="A589" s="87" t="s">
        <v>291</v>
      </c>
      <c r="B589" s="74" t="s">
        <v>185</v>
      </c>
      <c r="C589" s="81">
        <v>1173</v>
      </c>
    </row>
    <row r="590" spans="1:3" x14ac:dyDescent="0.2">
      <c r="A590" s="87" t="s">
        <v>291</v>
      </c>
      <c r="B590" s="74" t="s">
        <v>185</v>
      </c>
      <c r="C590" s="81">
        <v>1173</v>
      </c>
    </row>
    <row r="591" spans="1:3" x14ac:dyDescent="0.2">
      <c r="A591" s="87" t="s">
        <v>291</v>
      </c>
      <c r="B591" s="74" t="s">
        <v>185</v>
      </c>
      <c r="C591" s="81">
        <v>1173</v>
      </c>
    </row>
    <row r="592" spans="1:3" x14ac:dyDescent="0.2">
      <c r="A592" s="87" t="s">
        <v>291</v>
      </c>
      <c r="B592" s="74" t="s">
        <v>185</v>
      </c>
      <c r="C592" s="81">
        <v>1173</v>
      </c>
    </row>
    <row r="593" spans="1:3" x14ac:dyDescent="0.2">
      <c r="A593" s="87" t="s">
        <v>291</v>
      </c>
      <c r="B593" s="74" t="s">
        <v>185</v>
      </c>
      <c r="C593" s="81">
        <v>1173</v>
      </c>
    </row>
    <row r="594" spans="1:3" x14ac:dyDescent="0.2">
      <c r="A594" s="87" t="s">
        <v>291</v>
      </c>
      <c r="B594" s="74" t="s">
        <v>185</v>
      </c>
      <c r="C594" s="81">
        <v>1173</v>
      </c>
    </row>
    <row r="595" spans="1:3" x14ac:dyDescent="0.2">
      <c r="A595" s="87" t="s">
        <v>291</v>
      </c>
      <c r="B595" s="74" t="s">
        <v>185</v>
      </c>
      <c r="C595" s="81">
        <v>1173</v>
      </c>
    </row>
    <row r="596" spans="1:3" x14ac:dyDescent="0.2">
      <c r="A596" s="87" t="s">
        <v>291</v>
      </c>
      <c r="B596" s="74" t="s">
        <v>185</v>
      </c>
      <c r="C596" s="81">
        <v>1173</v>
      </c>
    </row>
    <row r="597" spans="1:3" x14ac:dyDescent="0.2">
      <c r="A597" s="87" t="s">
        <v>291</v>
      </c>
      <c r="B597" s="74" t="s">
        <v>185</v>
      </c>
      <c r="C597" s="81">
        <v>1173</v>
      </c>
    </row>
    <row r="598" spans="1:3" x14ac:dyDescent="0.2">
      <c r="A598" s="87" t="s">
        <v>291</v>
      </c>
      <c r="B598" s="74" t="s">
        <v>185</v>
      </c>
      <c r="C598" s="81">
        <v>1173</v>
      </c>
    </row>
    <row r="599" spans="1:3" x14ac:dyDescent="0.2">
      <c r="A599" s="87" t="s">
        <v>291</v>
      </c>
      <c r="B599" s="74" t="s">
        <v>185</v>
      </c>
      <c r="C599" s="81">
        <v>1173</v>
      </c>
    </row>
    <row r="600" spans="1:3" x14ac:dyDescent="0.2">
      <c r="A600" s="87" t="s">
        <v>291</v>
      </c>
      <c r="B600" s="74" t="s">
        <v>185</v>
      </c>
      <c r="C600" s="81">
        <v>1173</v>
      </c>
    </row>
    <row r="601" spans="1:3" x14ac:dyDescent="0.2">
      <c r="A601" s="87" t="s">
        <v>291</v>
      </c>
      <c r="B601" s="74" t="s">
        <v>162</v>
      </c>
      <c r="C601" s="81">
        <v>1618.05</v>
      </c>
    </row>
    <row r="602" spans="1:3" x14ac:dyDescent="0.2">
      <c r="A602" s="87" t="s">
        <v>291</v>
      </c>
      <c r="B602" s="74" t="s">
        <v>189</v>
      </c>
      <c r="C602" s="81">
        <v>810.75</v>
      </c>
    </row>
    <row r="603" spans="1:3" x14ac:dyDescent="0.2">
      <c r="A603" s="87" t="s">
        <v>291</v>
      </c>
      <c r="B603" s="74" t="s">
        <v>193</v>
      </c>
      <c r="C603" s="81">
        <v>676.2</v>
      </c>
    </row>
    <row r="604" spans="1:3" x14ac:dyDescent="0.2">
      <c r="A604" s="87" t="s">
        <v>291</v>
      </c>
      <c r="B604" s="74" t="s">
        <v>193</v>
      </c>
      <c r="C604" s="81">
        <v>676.2</v>
      </c>
    </row>
    <row r="605" spans="1:3" x14ac:dyDescent="0.2">
      <c r="A605" s="87" t="s">
        <v>291</v>
      </c>
      <c r="B605" s="74" t="s">
        <v>193</v>
      </c>
      <c r="C605" s="81">
        <v>676.2</v>
      </c>
    </row>
    <row r="606" spans="1:3" x14ac:dyDescent="0.2">
      <c r="A606" s="87" t="s">
        <v>291</v>
      </c>
      <c r="B606" s="74" t="s">
        <v>193</v>
      </c>
      <c r="C606" s="81">
        <v>676.2</v>
      </c>
    </row>
    <row r="607" spans="1:3" x14ac:dyDescent="0.2">
      <c r="A607" s="87" t="s">
        <v>291</v>
      </c>
      <c r="B607" s="74" t="s">
        <v>194</v>
      </c>
      <c r="C607" s="81">
        <v>2029.75</v>
      </c>
    </row>
    <row r="608" spans="1:3" x14ac:dyDescent="0.2">
      <c r="A608" s="87" t="s">
        <v>291</v>
      </c>
      <c r="B608" s="74" t="s">
        <v>195</v>
      </c>
      <c r="C608" s="81">
        <v>12000</v>
      </c>
    </row>
    <row r="609" spans="1:3" x14ac:dyDescent="0.2">
      <c r="A609" s="87" t="s">
        <v>291</v>
      </c>
      <c r="B609" s="74" t="s">
        <v>196</v>
      </c>
      <c r="C609" s="81">
        <v>6000</v>
      </c>
    </row>
    <row r="610" spans="1:3" x14ac:dyDescent="0.2">
      <c r="A610" s="87" t="s">
        <v>291</v>
      </c>
      <c r="B610" s="74" t="s">
        <v>197</v>
      </c>
      <c r="C610" s="81">
        <v>3525</v>
      </c>
    </row>
    <row r="611" spans="1:3" x14ac:dyDescent="0.2">
      <c r="A611" s="90" t="s">
        <v>291</v>
      </c>
      <c r="B611" s="74" t="s">
        <v>198</v>
      </c>
      <c r="C611" s="81">
        <v>2347.83</v>
      </c>
    </row>
    <row r="612" spans="1:3" x14ac:dyDescent="0.2">
      <c r="A612" s="90" t="s">
        <v>291</v>
      </c>
      <c r="B612" s="74" t="s">
        <v>198</v>
      </c>
      <c r="C612" s="81">
        <v>2347.83</v>
      </c>
    </row>
    <row r="613" spans="1:3" x14ac:dyDescent="0.2">
      <c r="A613" s="90" t="s">
        <v>291</v>
      </c>
      <c r="B613" s="74" t="s">
        <v>198</v>
      </c>
      <c r="C613" s="81">
        <v>2347.83</v>
      </c>
    </row>
    <row r="614" spans="1:3" x14ac:dyDescent="0.2">
      <c r="A614" s="90" t="s">
        <v>291</v>
      </c>
      <c r="B614" s="74" t="s">
        <v>198</v>
      </c>
      <c r="C614" s="81">
        <v>2347.83</v>
      </c>
    </row>
    <row r="615" spans="1:3" x14ac:dyDescent="0.2">
      <c r="A615" s="90" t="s">
        <v>291</v>
      </c>
      <c r="B615" s="74" t="s">
        <v>198</v>
      </c>
      <c r="C615" s="81">
        <v>2347.83</v>
      </c>
    </row>
    <row r="616" spans="1:3" x14ac:dyDescent="0.2">
      <c r="A616" s="90" t="s">
        <v>291</v>
      </c>
      <c r="B616" s="74" t="s">
        <v>198</v>
      </c>
      <c r="C616" s="81">
        <v>2346.83</v>
      </c>
    </row>
    <row r="617" spans="1:3" x14ac:dyDescent="0.2">
      <c r="A617" s="90" t="s">
        <v>291</v>
      </c>
      <c r="B617" s="74" t="s">
        <v>198</v>
      </c>
      <c r="C617" s="81">
        <v>2347.9499999999998</v>
      </c>
    </row>
    <row r="618" spans="1:3" x14ac:dyDescent="0.2">
      <c r="A618" s="87" t="s">
        <v>291</v>
      </c>
      <c r="B618" s="74" t="s">
        <v>199</v>
      </c>
      <c r="C618" s="81">
        <v>10350</v>
      </c>
    </row>
    <row r="619" spans="1:3" x14ac:dyDescent="0.2">
      <c r="A619" s="87" t="s">
        <v>291</v>
      </c>
      <c r="B619" s="74" t="s">
        <v>178</v>
      </c>
      <c r="C619" s="81">
        <v>538.26</v>
      </c>
    </row>
    <row r="620" spans="1:3" x14ac:dyDescent="0.2">
      <c r="A620" s="87" t="s">
        <v>291</v>
      </c>
      <c r="B620" s="74" t="s">
        <v>178</v>
      </c>
      <c r="C620" s="81">
        <v>538.26</v>
      </c>
    </row>
    <row r="621" spans="1:3" x14ac:dyDescent="0.2">
      <c r="A621" s="87" t="s">
        <v>291</v>
      </c>
      <c r="B621" s="74" t="s">
        <v>178</v>
      </c>
      <c r="C621" s="81">
        <v>538.26</v>
      </c>
    </row>
    <row r="622" spans="1:3" x14ac:dyDescent="0.2">
      <c r="A622" s="87" t="s">
        <v>291</v>
      </c>
      <c r="B622" s="74" t="s">
        <v>178</v>
      </c>
      <c r="C622" s="81">
        <v>538.26</v>
      </c>
    </row>
    <row r="623" spans="1:3" x14ac:dyDescent="0.2">
      <c r="A623" s="87" t="s">
        <v>291</v>
      </c>
      <c r="B623" s="74" t="s">
        <v>178</v>
      </c>
      <c r="C623" s="81">
        <v>538.26</v>
      </c>
    </row>
    <row r="624" spans="1:3" x14ac:dyDescent="0.2">
      <c r="A624" s="87" t="s">
        <v>291</v>
      </c>
      <c r="B624" s="74" t="s">
        <v>178</v>
      </c>
      <c r="C624" s="81">
        <v>538.26</v>
      </c>
    </row>
    <row r="625" spans="1:3" x14ac:dyDescent="0.2">
      <c r="A625" s="87" t="s">
        <v>291</v>
      </c>
      <c r="B625" s="74" t="s">
        <v>178</v>
      </c>
      <c r="C625" s="81">
        <v>538.26</v>
      </c>
    </row>
    <row r="626" spans="1:3" x14ac:dyDescent="0.2">
      <c r="A626" s="87" t="s">
        <v>291</v>
      </c>
      <c r="B626" s="74" t="s">
        <v>178</v>
      </c>
      <c r="C626" s="81">
        <v>538.26</v>
      </c>
    </row>
    <row r="627" spans="1:3" x14ac:dyDescent="0.2">
      <c r="A627" s="87" t="s">
        <v>291</v>
      </c>
      <c r="B627" s="74" t="s">
        <v>178</v>
      </c>
      <c r="C627" s="81">
        <v>538.16</v>
      </c>
    </row>
    <row r="628" spans="1:3" x14ac:dyDescent="0.2">
      <c r="A628" s="87" t="s">
        <v>291</v>
      </c>
      <c r="B628" s="74" t="s">
        <v>178</v>
      </c>
      <c r="C628" s="81">
        <v>538.16</v>
      </c>
    </row>
    <row r="629" spans="1:3" x14ac:dyDescent="0.2">
      <c r="A629" s="87" t="s">
        <v>291</v>
      </c>
      <c r="B629" s="74" t="s">
        <v>178</v>
      </c>
      <c r="C629" s="81">
        <v>538.16</v>
      </c>
    </row>
    <row r="630" spans="1:3" x14ac:dyDescent="0.2">
      <c r="A630" s="87" t="s">
        <v>291</v>
      </c>
      <c r="B630" s="74" t="s">
        <v>178</v>
      </c>
      <c r="C630" s="81">
        <v>538.16</v>
      </c>
    </row>
    <row r="631" spans="1:3" x14ac:dyDescent="0.2">
      <c r="A631" s="87" t="s">
        <v>291</v>
      </c>
      <c r="B631" s="74" t="s">
        <v>178</v>
      </c>
      <c r="C631" s="81">
        <v>538.16</v>
      </c>
    </row>
    <row r="632" spans="1:3" x14ac:dyDescent="0.2">
      <c r="A632" s="87" t="s">
        <v>291</v>
      </c>
      <c r="B632" s="74" t="s">
        <v>178</v>
      </c>
      <c r="C632" s="81">
        <v>538.16</v>
      </c>
    </row>
    <row r="633" spans="1:3" x14ac:dyDescent="0.2">
      <c r="A633" s="87" t="s">
        <v>291</v>
      </c>
      <c r="B633" s="74" t="s">
        <v>178</v>
      </c>
      <c r="C633" s="81">
        <v>538.16</v>
      </c>
    </row>
    <row r="634" spans="1:3" x14ac:dyDescent="0.2">
      <c r="A634" s="87" t="s">
        <v>291</v>
      </c>
      <c r="B634" s="74" t="s">
        <v>178</v>
      </c>
      <c r="C634" s="81">
        <v>538.16</v>
      </c>
    </row>
    <row r="635" spans="1:3" x14ac:dyDescent="0.2">
      <c r="A635" s="87" t="s">
        <v>291</v>
      </c>
      <c r="B635" s="74" t="s">
        <v>178</v>
      </c>
      <c r="C635" s="81">
        <v>538.16</v>
      </c>
    </row>
    <row r="636" spans="1:3" x14ac:dyDescent="0.2">
      <c r="A636" s="87" t="s">
        <v>291</v>
      </c>
      <c r="B636" s="74" t="s">
        <v>178</v>
      </c>
      <c r="C636" s="81">
        <v>538.16</v>
      </c>
    </row>
    <row r="637" spans="1:3" x14ac:dyDescent="0.2">
      <c r="A637" s="87" t="s">
        <v>291</v>
      </c>
      <c r="B637" s="74" t="s">
        <v>178</v>
      </c>
      <c r="C637" s="81">
        <v>538.16</v>
      </c>
    </row>
    <row r="638" spans="1:3" x14ac:dyDescent="0.2">
      <c r="A638" s="87" t="s">
        <v>291</v>
      </c>
      <c r="B638" s="74" t="s">
        <v>178</v>
      </c>
      <c r="C638" s="81">
        <v>538.16</v>
      </c>
    </row>
    <row r="639" spans="1:3" x14ac:dyDescent="0.2">
      <c r="A639" s="87" t="s">
        <v>291</v>
      </c>
      <c r="B639" s="74" t="s">
        <v>178</v>
      </c>
      <c r="C639" s="81">
        <v>538.16</v>
      </c>
    </row>
    <row r="640" spans="1:3" x14ac:dyDescent="0.2">
      <c r="A640" s="87" t="s">
        <v>291</v>
      </c>
      <c r="B640" s="74" t="s">
        <v>178</v>
      </c>
      <c r="C640" s="81">
        <v>538.16</v>
      </c>
    </row>
    <row r="641" spans="1:3" x14ac:dyDescent="0.2">
      <c r="A641" s="87" t="s">
        <v>291</v>
      </c>
      <c r="B641" s="74" t="s">
        <v>178</v>
      </c>
      <c r="C641" s="81">
        <v>538.16</v>
      </c>
    </row>
    <row r="642" spans="1:3" x14ac:dyDescent="0.2">
      <c r="A642" s="87" t="s">
        <v>291</v>
      </c>
      <c r="B642" s="74" t="s">
        <v>178</v>
      </c>
      <c r="C642" s="81">
        <v>538.16</v>
      </c>
    </row>
    <row r="643" spans="1:3" x14ac:dyDescent="0.2">
      <c r="A643" s="87" t="s">
        <v>291</v>
      </c>
      <c r="B643" s="74" t="s">
        <v>178</v>
      </c>
      <c r="C643" s="81">
        <v>538.16</v>
      </c>
    </row>
    <row r="644" spans="1:3" x14ac:dyDescent="0.2">
      <c r="A644" s="87" t="s">
        <v>291</v>
      </c>
      <c r="B644" s="74" t="s">
        <v>178</v>
      </c>
      <c r="C644" s="81">
        <v>538.16</v>
      </c>
    </row>
    <row r="645" spans="1:3" x14ac:dyDescent="0.2">
      <c r="A645" s="87" t="s">
        <v>291</v>
      </c>
      <c r="B645" s="74" t="s">
        <v>178</v>
      </c>
      <c r="C645" s="81">
        <v>538.16</v>
      </c>
    </row>
    <row r="646" spans="1:3" x14ac:dyDescent="0.2">
      <c r="A646" s="87" t="s">
        <v>291</v>
      </c>
      <c r="B646" s="74" t="s">
        <v>178</v>
      </c>
      <c r="C646" s="81">
        <v>538.16</v>
      </c>
    </row>
    <row r="647" spans="1:3" x14ac:dyDescent="0.2">
      <c r="A647" s="87" t="s">
        <v>291</v>
      </c>
      <c r="B647" s="74" t="s">
        <v>178</v>
      </c>
      <c r="C647" s="81">
        <v>538.16</v>
      </c>
    </row>
    <row r="648" spans="1:3" x14ac:dyDescent="0.2">
      <c r="A648" s="87" t="s">
        <v>291</v>
      </c>
      <c r="B648" s="74" t="s">
        <v>178</v>
      </c>
      <c r="C648" s="81">
        <v>538.16</v>
      </c>
    </row>
    <row r="649" spans="1:3" x14ac:dyDescent="0.2">
      <c r="A649" s="87" t="s">
        <v>291</v>
      </c>
      <c r="B649" s="74" t="s">
        <v>178</v>
      </c>
      <c r="C649" s="81">
        <v>538.16</v>
      </c>
    </row>
    <row r="650" spans="1:3" x14ac:dyDescent="0.2">
      <c r="A650" s="87" t="s">
        <v>291</v>
      </c>
      <c r="B650" s="74" t="s">
        <v>178</v>
      </c>
      <c r="C650" s="81">
        <v>538.16</v>
      </c>
    </row>
    <row r="651" spans="1:3" x14ac:dyDescent="0.2">
      <c r="A651" s="87" t="s">
        <v>291</v>
      </c>
      <c r="B651" s="74" t="s">
        <v>178</v>
      </c>
      <c r="C651" s="81">
        <v>538.16</v>
      </c>
    </row>
    <row r="652" spans="1:3" x14ac:dyDescent="0.2">
      <c r="A652" s="87" t="s">
        <v>291</v>
      </c>
      <c r="B652" s="74" t="s">
        <v>178</v>
      </c>
      <c r="C652" s="81">
        <v>538.16</v>
      </c>
    </row>
    <row r="653" spans="1:3" x14ac:dyDescent="0.2">
      <c r="A653" s="87" t="s">
        <v>291</v>
      </c>
      <c r="B653" s="74" t="s">
        <v>178</v>
      </c>
      <c r="C653" s="81">
        <v>538.26</v>
      </c>
    </row>
    <row r="654" spans="1:3" x14ac:dyDescent="0.2">
      <c r="A654" s="87" t="s">
        <v>291</v>
      </c>
      <c r="B654" s="74" t="s">
        <v>178</v>
      </c>
      <c r="C654" s="81">
        <v>538.16</v>
      </c>
    </row>
    <row r="655" spans="1:3" x14ac:dyDescent="0.2">
      <c r="A655" s="87" t="s">
        <v>291</v>
      </c>
      <c r="B655" s="74" t="s">
        <v>178</v>
      </c>
      <c r="C655" s="81">
        <v>538.16</v>
      </c>
    </row>
    <row r="656" spans="1:3" x14ac:dyDescent="0.2">
      <c r="A656" s="87" t="s">
        <v>291</v>
      </c>
      <c r="B656" s="74" t="s">
        <v>178</v>
      </c>
      <c r="C656" s="81">
        <v>538.26</v>
      </c>
    </row>
    <row r="657" spans="1:3" x14ac:dyDescent="0.2">
      <c r="A657" s="87" t="s">
        <v>291</v>
      </c>
      <c r="B657" s="74" t="s">
        <v>178</v>
      </c>
      <c r="C657" s="81">
        <v>538.26</v>
      </c>
    </row>
    <row r="658" spans="1:3" x14ac:dyDescent="0.2">
      <c r="A658" s="87" t="s">
        <v>291</v>
      </c>
      <c r="B658" s="74" t="s">
        <v>178</v>
      </c>
      <c r="C658" s="81">
        <v>538.26</v>
      </c>
    </row>
    <row r="659" spans="1:3" x14ac:dyDescent="0.2">
      <c r="A659" s="87" t="s">
        <v>291</v>
      </c>
      <c r="B659" s="74" t="s">
        <v>178</v>
      </c>
      <c r="C659" s="81">
        <v>538.26</v>
      </c>
    </row>
    <row r="660" spans="1:3" x14ac:dyDescent="0.2">
      <c r="A660" s="87" t="s">
        <v>291</v>
      </c>
      <c r="B660" s="74" t="s">
        <v>178</v>
      </c>
      <c r="C660" s="81">
        <v>538.26</v>
      </c>
    </row>
    <row r="661" spans="1:3" x14ac:dyDescent="0.2">
      <c r="A661" s="87" t="s">
        <v>291</v>
      </c>
      <c r="B661" s="74" t="s">
        <v>178</v>
      </c>
      <c r="C661" s="81">
        <v>538.26</v>
      </c>
    </row>
    <row r="662" spans="1:3" x14ac:dyDescent="0.2">
      <c r="A662" s="87" t="s">
        <v>291</v>
      </c>
      <c r="B662" s="74" t="s">
        <v>178</v>
      </c>
      <c r="C662" s="81">
        <v>538.26</v>
      </c>
    </row>
    <row r="663" spans="1:3" x14ac:dyDescent="0.2">
      <c r="A663" s="87" t="s">
        <v>291</v>
      </c>
      <c r="B663" s="74" t="s">
        <v>178</v>
      </c>
      <c r="C663" s="81">
        <v>538.26</v>
      </c>
    </row>
    <row r="664" spans="1:3" x14ac:dyDescent="0.2">
      <c r="A664" s="87" t="s">
        <v>291</v>
      </c>
      <c r="B664" s="74" t="s">
        <v>178</v>
      </c>
      <c r="C664" s="81">
        <v>538.26</v>
      </c>
    </row>
    <row r="665" spans="1:3" x14ac:dyDescent="0.2">
      <c r="A665" s="87" t="s">
        <v>291</v>
      </c>
      <c r="B665" s="74" t="s">
        <v>178</v>
      </c>
      <c r="C665" s="81">
        <v>538.26</v>
      </c>
    </row>
    <row r="666" spans="1:3" x14ac:dyDescent="0.2">
      <c r="A666" s="87" t="s">
        <v>291</v>
      </c>
      <c r="B666" s="74" t="s">
        <v>178</v>
      </c>
      <c r="C666" s="81">
        <v>538.26</v>
      </c>
    </row>
    <row r="667" spans="1:3" x14ac:dyDescent="0.2">
      <c r="A667" s="87" t="s">
        <v>291</v>
      </c>
      <c r="B667" s="74" t="s">
        <v>178</v>
      </c>
      <c r="C667" s="81">
        <v>538.26</v>
      </c>
    </row>
    <row r="668" spans="1:3" x14ac:dyDescent="0.2">
      <c r="A668" s="87" t="s">
        <v>291</v>
      </c>
      <c r="B668" s="74" t="s">
        <v>178</v>
      </c>
      <c r="C668" s="81">
        <v>538.26</v>
      </c>
    </row>
    <row r="669" spans="1:3" x14ac:dyDescent="0.2">
      <c r="A669" s="87" t="s">
        <v>291</v>
      </c>
      <c r="B669" s="74" t="s">
        <v>178</v>
      </c>
      <c r="C669" s="81">
        <v>538.26</v>
      </c>
    </row>
    <row r="670" spans="1:3" x14ac:dyDescent="0.2">
      <c r="A670" s="87" t="s">
        <v>291</v>
      </c>
      <c r="B670" s="74" t="s">
        <v>178</v>
      </c>
      <c r="C670" s="81">
        <v>538.26</v>
      </c>
    </row>
    <row r="671" spans="1:3" x14ac:dyDescent="0.2">
      <c r="A671" s="87" t="s">
        <v>291</v>
      </c>
      <c r="B671" s="74" t="s">
        <v>178</v>
      </c>
      <c r="C671" s="81">
        <v>538.26</v>
      </c>
    </row>
    <row r="672" spans="1:3" x14ac:dyDescent="0.2">
      <c r="A672" s="87" t="s">
        <v>291</v>
      </c>
      <c r="B672" s="74" t="s">
        <v>178</v>
      </c>
      <c r="C672" s="81">
        <v>538.26</v>
      </c>
    </row>
    <row r="673" spans="1:3" x14ac:dyDescent="0.2">
      <c r="A673" s="87" t="s">
        <v>291</v>
      </c>
      <c r="B673" s="74" t="s">
        <v>178</v>
      </c>
      <c r="C673" s="81">
        <v>538.26</v>
      </c>
    </row>
    <row r="674" spans="1:3" x14ac:dyDescent="0.2">
      <c r="A674" s="87" t="s">
        <v>291</v>
      </c>
      <c r="B674" s="74" t="s">
        <v>178</v>
      </c>
      <c r="C674" s="81">
        <v>538.26</v>
      </c>
    </row>
    <row r="675" spans="1:3" x14ac:dyDescent="0.2">
      <c r="A675" s="87" t="s">
        <v>291</v>
      </c>
      <c r="B675" s="74" t="s">
        <v>178</v>
      </c>
      <c r="C675" s="81">
        <v>538.26</v>
      </c>
    </row>
    <row r="676" spans="1:3" x14ac:dyDescent="0.2">
      <c r="A676" s="87" t="s">
        <v>291</v>
      </c>
      <c r="B676" s="74" t="s">
        <v>178</v>
      </c>
      <c r="C676" s="81">
        <v>538.26</v>
      </c>
    </row>
    <row r="677" spans="1:3" x14ac:dyDescent="0.2">
      <c r="A677" s="87" t="s">
        <v>291</v>
      </c>
      <c r="B677" s="74" t="s">
        <v>178</v>
      </c>
      <c r="C677" s="81">
        <v>538.26</v>
      </c>
    </row>
    <row r="678" spans="1:3" x14ac:dyDescent="0.2">
      <c r="A678" s="87" t="s">
        <v>291</v>
      </c>
      <c r="B678" s="74" t="s">
        <v>178</v>
      </c>
      <c r="C678" s="81">
        <v>538.26</v>
      </c>
    </row>
    <row r="679" spans="1:3" x14ac:dyDescent="0.2">
      <c r="A679" s="87" t="s">
        <v>291</v>
      </c>
      <c r="B679" s="74" t="s">
        <v>178</v>
      </c>
      <c r="C679" s="81">
        <v>538.26</v>
      </c>
    </row>
    <row r="680" spans="1:3" x14ac:dyDescent="0.2">
      <c r="A680" s="87" t="s">
        <v>291</v>
      </c>
      <c r="B680" s="74" t="s">
        <v>178</v>
      </c>
      <c r="C680" s="81">
        <v>538.26</v>
      </c>
    </row>
    <row r="681" spans="1:3" x14ac:dyDescent="0.2">
      <c r="A681" s="87" t="s">
        <v>291</v>
      </c>
      <c r="B681" s="74" t="s">
        <v>178</v>
      </c>
      <c r="C681" s="81">
        <v>538.26</v>
      </c>
    </row>
    <row r="682" spans="1:3" x14ac:dyDescent="0.2">
      <c r="A682" s="87" t="s">
        <v>291</v>
      </c>
      <c r="B682" s="74" t="s">
        <v>178</v>
      </c>
      <c r="C682" s="81">
        <v>538.26</v>
      </c>
    </row>
    <row r="683" spans="1:3" x14ac:dyDescent="0.2">
      <c r="A683" s="87" t="s">
        <v>291</v>
      </c>
      <c r="B683" s="74" t="s">
        <v>178</v>
      </c>
      <c r="C683" s="81">
        <v>538.26</v>
      </c>
    </row>
    <row r="684" spans="1:3" x14ac:dyDescent="0.2">
      <c r="A684" s="87" t="s">
        <v>291</v>
      </c>
      <c r="B684" s="74" t="s">
        <v>178</v>
      </c>
      <c r="C684" s="81">
        <v>538.26</v>
      </c>
    </row>
    <row r="685" spans="1:3" x14ac:dyDescent="0.2">
      <c r="A685" s="87" t="s">
        <v>291</v>
      </c>
      <c r="B685" s="74" t="s">
        <v>178</v>
      </c>
      <c r="C685" s="81">
        <v>538.26</v>
      </c>
    </row>
    <row r="686" spans="1:3" x14ac:dyDescent="0.2">
      <c r="A686" s="87" t="s">
        <v>291</v>
      </c>
      <c r="B686" s="74" t="s">
        <v>178</v>
      </c>
      <c r="C686" s="81">
        <v>538.26</v>
      </c>
    </row>
    <row r="687" spans="1:3" x14ac:dyDescent="0.2">
      <c r="A687" s="87" t="s">
        <v>291</v>
      </c>
      <c r="B687" s="74" t="s">
        <v>178</v>
      </c>
      <c r="C687" s="81">
        <v>538.26</v>
      </c>
    </row>
    <row r="688" spans="1:3" x14ac:dyDescent="0.2">
      <c r="A688" s="87" t="s">
        <v>291</v>
      </c>
      <c r="B688" s="74" t="s">
        <v>178</v>
      </c>
      <c r="C688" s="81">
        <v>538.26</v>
      </c>
    </row>
    <row r="689" spans="1:3" x14ac:dyDescent="0.2">
      <c r="A689" s="87" t="s">
        <v>291</v>
      </c>
      <c r="B689" s="74" t="s">
        <v>178</v>
      </c>
      <c r="C689" s="81">
        <v>538.26</v>
      </c>
    </row>
    <row r="690" spans="1:3" x14ac:dyDescent="0.2">
      <c r="A690" s="87" t="s">
        <v>291</v>
      </c>
      <c r="B690" s="74" t="s">
        <v>178</v>
      </c>
      <c r="C690" s="81">
        <v>538.26</v>
      </c>
    </row>
    <row r="691" spans="1:3" x14ac:dyDescent="0.2">
      <c r="A691" s="87" t="s">
        <v>291</v>
      </c>
      <c r="B691" s="74" t="s">
        <v>178</v>
      </c>
      <c r="C691" s="81">
        <v>538.26</v>
      </c>
    </row>
    <row r="692" spans="1:3" x14ac:dyDescent="0.2">
      <c r="A692" s="87" t="s">
        <v>291</v>
      </c>
      <c r="B692" s="74" t="s">
        <v>178</v>
      </c>
      <c r="C692" s="81">
        <v>538.26</v>
      </c>
    </row>
    <row r="693" spans="1:3" x14ac:dyDescent="0.2">
      <c r="A693" s="87" t="s">
        <v>291</v>
      </c>
      <c r="B693" s="74" t="s">
        <v>178</v>
      </c>
      <c r="C693" s="81">
        <v>538.26</v>
      </c>
    </row>
    <row r="694" spans="1:3" x14ac:dyDescent="0.2">
      <c r="A694" s="87" t="s">
        <v>291</v>
      </c>
      <c r="B694" s="74" t="s">
        <v>200</v>
      </c>
      <c r="C694" s="81">
        <v>188.83</v>
      </c>
    </row>
    <row r="695" spans="1:3" x14ac:dyDescent="0.2">
      <c r="A695" s="87" t="s">
        <v>291</v>
      </c>
      <c r="B695" s="74" t="s">
        <v>200</v>
      </c>
      <c r="C695" s="81">
        <v>188.83</v>
      </c>
    </row>
    <row r="696" spans="1:3" x14ac:dyDescent="0.2">
      <c r="A696" s="87" t="s">
        <v>291</v>
      </c>
      <c r="B696" s="74" t="s">
        <v>200</v>
      </c>
      <c r="C696" s="81">
        <v>188.83</v>
      </c>
    </row>
    <row r="697" spans="1:3" x14ac:dyDescent="0.2">
      <c r="A697" s="87" t="s">
        <v>291</v>
      </c>
      <c r="B697" s="74" t="s">
        <v>200</v>
      </c>
      <c r="C697" s="81">
        <v>188.83</v>
      </c>
    </row>
    <row r="698" spans="1:3" x14ac:dyDescent="0.2">
      <c r="A698" s="87" t="s">
        <v>291</v>
      </c>
      <c r="B698" s="74" t="s">
        <v>200</v>
      </c>
      <c r="C698" s="81">
        <v>188.83</v>
      </c>
    </row>
    <row r="699" spans="1:3" x14ac:dyDescent="0.2">
      <c r="A699" s="87" t="s">
        <v>291</v>
      </c>
      <c r="B699" s="74" t="s">
        <v>200</v>
      </c>
      <c r="C699" s="81">
        <v>188.83</v>
      </c>
    </row>
    <row r="700" spans="1:3" x14ac:dyDescent="0.2">
      <c r="A700" s="87" t="s">
        <v>291</v>
      </c>
      <c r="B700" s="74" t="s">
        <v>200</v>
      </c>
      <c r="C700" s="81">
        <v>188.83</v>
      </c>
    </row>
    <row r="701" spans="1:3" x14ac:dyDescent="0.2">
      <c r="A701" s="87" t="s">
        <v>291</v>
      </c>
      <c r="B701" s="74" t="s">
        <v>200</v>
      </c>
      <c r="C701" s="81">
        <v>188.83</v>
      </c>
    </row>
    <row r="702" spans="1:3" x14ac:dyDescent="0.2">
      <c r="A702" s="87" t="s">
        <v>291</v>
      </c>
      <c r="B702" s="74" t="s">
        <v>200</v>
      </c>
      <c r="C702" s="81">
        <v>188.83</v>
      </c>
    </row>
    <row r="703" spans="1:3" x14ac:dyDescent="0.2">
      <c r="A703" s="87" t="s">
        <v>291</v>
      </c>
      <c r="B703" s="74" t="s">
        <v>200</v>
      </c>
      <c r="C703" s="81">
        <v>188.83</v>
      </c>
    </row>
    <row r="704" spans="1:3" x14ac:dyDescent="0.2">
      <c r="A704" s="87" t="s">
        <v>291</v>
      </c>
      <c r="B704" s="74" t="s">
        <v>200</v>
      </c>
      <c r="C704" s="81">
        <v>188.83</v>
      </c>
    </row>
    <row r="705" spans="1:3" x14ac:dyDescent="0.2">
      <c r="A705" s="87" t="s">
        <v>291</v>
      </c>
      <c r="B705" s="74" t="s">
        <v>200</v>
      </c>
      <c r="C705" s="81">
        <v>188.83</v>
      </c>
    </row>
    <row r="706" spans="1:3" x14ac:dyDescent="0.2">
      <c r="A706" s="87" t="s">
        <v>291</v>
      </c>
      <c r="B706" s="74" t="s">
        <v>200</v>
      </c>
      <c r="C706" s="81">
        <v>188.83</v>
      </c>
    </row>
    <row r="707" spans="1:3" x14ac:dyDescent="0.2">
      <c r="A707" s="87" t="s">
        <v>291</v>
      </c>
      <c r="B707" s="74" t="s">
        <v>200</v>
      </c>
      <c r="C707" s="81">
        <v>188.83</v>
      </c>
    </row>
    <row r="708" spans="1:3" x14ac:dyDescent="0.2">
      <c r="A708" s="87" t="s">
        <v>291</v>
      </c>
      <c r="B708" s="74" t="s">
        <v>200</v>
      </c>
      <c r="C708" s="81">
        <v>188.83</v>
      </c>
    </row>
    <row r="709" spans="1:3" x14ac:dyDescent="0.2">
      <c r="A709" s="87" t="s">
        <v>291</v>
      </c>
      <c r="B709" s="74" t="s">
        <v>200</v>
      </c>
      <c r="C709" s="81">
        <v>188.83</v>
      </c>
    </row>
    <row r="710" spans="1:3" x14ac:dyDescent="0.2">
      <c r="A710" s="87" t="s">
        <v>291</v>
      </c>
      <c r="B710" s="74" t="s">
        <v>200</v>
      </c>
      <c r="C710" s="81">
        <v>188.83</v>
      </c>
    </row>
    <row r="711" spans="1:3" x14ac:dyDescent="0.2">
      <c r="A711" s="87" t="s">
        <v>291</v>
      </c>
      <c r="B711" s="74" t="s">
        <v>200</v>
      </c>
      <c r="C711" s="81">
        <v>188.83</v>
      </c>
    </row>
    <row r="712" spans="1:3" x14ac:dyDescent="0.2">
      <c r="A712" s="87" t="s">
        <v>291</v>
      </c>
      <c r="B712" s="74" t="s">
        <v>200</v>
      </c>
      <c r="C712" s="81">
        <v>188.83</v>
      </c>
    </row>
    <row r="713" spans="1:3" x14ac:dyDescent="0.2">
      <c r="A713" s="87" t="s">
        <v>291</v>
      </c>
      <c r="B713" s="74" t="s">
        <v>200</v>
      </c>
      <c r="C713" s="81">
        <v>188.83</v>
      </c>
    </row>
    <row r="714" spans="1:3" x14ac:dyDescent="0.2">
      <c r="A714" s="87" t="s">
        <v>291</v>
      </c>
      <c r="B714" s="74" t="s">
        <v>200</v>
      </c>
      <c r="C714" s="81">
        <v>188.83</v>
      </c>
    </row>
    <row r="715" spans="1:3" x14ac:dyDescent="0.2">
      <c r="A715" s="87" t="s">
        <v>291</v>
      </c>
      <c r="B715" s="74" t="s">
        <v>200</v>
      </c>
      <c r="C715" s="81">
        <v>188.83</v>
      </c>
    </row>
    <row r="716" spans="1:3" x14ac:dyDescent="0.2">
      <c r="A716" s="87" t="s">
        <v>291</v>
      </c>
      <c r="B716" s="74" t="s">
        <v>200</v>
      </c>
      <c r="C716" s="81">
        <v>188.83</v>
      </c>
    </row>
    <row r="717" spans="1:3" x14ac:dyDescent="0.2">
      <c r="A717" s="87" t="s">
        <v>291</v>
      </c>
      <c r="B717" s="74" t="s">
        <v>200</v>
      </c>
      <c r="C717" s="81">
        <v>188.83</v>
      </c>
    </row>
    <row r="718" spans="1:3" x14ac:dyDescent="0.2">
      <c r="A718" s="87" t="s">
        <v>291</v>
      </c>
      <c r="B718" s="74" t="s">
        <v>200</v>
      </c>
      <c r="C718" s="81">
        <v>188.83</v>
      </c>
    </row>
    <row r="719" spans="1:3" x14ac:dyDescent="0.2">
      <c r="A719" s="87" t="s">
        <v>291</v>
      </c>
      <c r="B719" s="74" t="s">
        <v>200</v>
      </c>
      <c r="C719" s="81">
        <v>188.83</v>
      </c>
    </row>
    <row r="720" spans="1:3" x14ac:dyDescent="0.2">
      <c r="A720" s="87" t="s">
        <v>291</v>
      </c>
      <c r="B720" s="74" t="s">
        <v>200</v>
      </c>
      <c r="C720" s="81">
        <v>188.83</v>
      </c>
    </row>
    <row r="721" spans="1:3" x14ac:dyDescent="0.2">
      <c r="A721" s="87" t="s">
        <v>291</v>
      </c>
      <c r="B721" s="74" t="s">
        <v>200</v>
      </c>
      <c r="C721" s="81">
        <v>188.83</v>
      </c>
    </row>
    <row r="722" spans="1:3" x14ac:dyDescent="0.2">
      <c r="A722" s="87" t="s">
        <v>291</v>
      </c>
      <c r="B722" s="74" t="s">
        <v>200</v>
      </c>
      <c r="C722" s="81">
        <v>188.83</v>
      </c>
    </row>
    <row r="723" spans="1:3" x14ac:dyDescent="0.2">
      <c r="A723" s="87" t="s">
        <v>291</v>
      </c>
      <c r="B723" s="74" t="s">
        <v>200</v>
      </c>
      <c r="C723" s="81">
        <v>188.83</v>
      </c>
    </row>
    <row r="724" spans="1:3" x14ac:dyDescent="0.2">
      <c r="A724" s="87" t="s">
        <v>291</v>
      </c>
      <c r="B724" s="74" t="s">
        <v>200</v>
      </c>
      <c r="C724" s="81">
        <v>188.83</v>
      </c>
    </row>
    <row r="725" spans="1:3" x14ac:dyDescent="0.2">
      <c r="A725" s="87" t="s">
        <v>291</v>
      </c>
      <c r="B725" s="74" t="s">
        <v>200</v>
      </c>
      <c r="C725" s="81">
        <v>188.83</v>
      </c>
    </row>
    <row r="726" spans="1:3" x14ac:dyDescent="0.2">
      <c r="A726" s="87" t="s">
        <v>291</v>
      </c>
      <c r="B726" s="74" t="s">
        <v>200</v>
      </c>
      <c r="C726" s="81">
        <v>188.83</v>
      </c>
    </row>
    <row r="727" spans="1:3" x14ac:dyDescent="0.2">
      <c r="A727" s="87" t="s">
        <v>291</v>
      </c>
      <c r="B727" s="74" t="s">
        <v>200</v>
      </c>
      <c r="C727" s="81">
        <v>188.83</v>
      </c>
    </row>
    <row r="728" spans="1:3" x14ac:dyDescent="0.2">
      <c r="A728" s="87" t="s">
        <v>291</v>
      </c>
      <c r="B728" s="74" t="s">
        <v>200</v>
      </c>
      <c r="C728" s="81">
        <v>188.83</v>
      </c>
    </row>
    <row r="729" spans="1:3" x14ac:dyDescent="0.2">
      <c r="A729" s="87" t="s">
        <v>291</v>
      </c>
      <c r="B729" s="74" t="s">
        <v>200</v>
      </c>
      <c r="C729" s="81">
        <v>188.83</v>
      </c>
    </row>
    <row r="730" spans="1:3" x14ac:dyDescent="0.2">
      <c r="A730" s="87" t="s">
        <v>291</v>
      </c>
      <c r="B730" s="74" t="s">
        <v>200</v>
      </c>
      <c r="C730" s="81">
        <v>188.83</v>
      </c>
    </row>
    <row r="731" spans="1:3" x14ac:dyDescent="0.2">
      <c r="A731" s="87" t="s">
        <v>291</v>
      </c>
      <c r="B731" s="74" t="s">
        <v>200</v>
      </c>
      <c r="C731" s="81">
        <v>188.83</v>
      </c>
    </row>
    <row r="732" spans="1:3" x14ac:dyDescent="0.2">
      <c r="A732" s="87" t="s">
        <v>291</v>
      </c>
      <c r="B732" s="74" t="s">
        <v>200</v>
      </c>
      <c r="C732" s="81">
        <v>188.83</v>
      </c>
    </row>
    <row r="733" spans="1:3" x14ac:dyDescent="0.2">
      <c r="A733" s="87" t="s">
        <v>291</v>
      </c>
      <c r="B733" s="74" t="s">
        <v>200</v>
      </c>
      <c r="C733" s="81">
        <v>188.83</v>
      </c>
    </row>
    <row r="734" spans="1:3" x14ac:dyDescent="0.2">
      <c r="A734" s="87" t="s">
        <v>291</v>
      </c>
      <c r="B734" s="74" t="s">
        <v>200</v>
      </c>
      <c r="C734" s="81">
        <v>188.83</v>
      </c>
    </row>
    <row r="735" spans="1:3" x14ac:dyDescent="0.2">
      <c r="A735" s="87" t="s">
        <v>291</v>
      </c>
      <c r="B735" s="74" t="s">
        <v>200</v>
      </c>
      <c r="C735" s="81">
        <v>188.83</v>
      </c>
    </row>
    <row r="736" spans="1:3" x14ac:dyDescent="0.2">
      <c r="A736" s="87" t="s">
        <v>291</v>
      </c>
      <c r="B736" s="74" t="s">
        <v>200</v>
      </c>
      <c r="C736" s="81">
        <v>188.83</v>
      </c>
    </row>
    <row r="737" spans="1:3" x14ac:dyDescent="0.2">
      <c r="A737" s="87" t="s">
        <v>291</v>
      </c>
      <c r="B737" s="74" t="s">
        <v>200</v>
      </c>
      <c r="C737" s="81">
        <v>188.83</v>
      </c>
    </row>
    <row r="738" spans="1:3" x14ac:dyDescent="0.2">
      <c r="A738" s="87" t="s">
        <v>291</v>
      </c>
      <c r="B738" s="74" t="s">
        <v>200</v>
      </c>
      <c r="C738" s="81">
        <v>188.83</v>
      </c>
    </row>
    <row r="739" spans="1:3" x14ac:dyDescent="0.2">
      <c r="A739" s="87" t="s">
        <v>291</v>
      </c>
      <c r="B739" s="74" t="s">
        <v>200</v>
      </c>
      <c r="C739" s="81">
        <v>188.83</v>
      </c>
    </row>
    <row r="740" spans="1:3" x14ac:dyDescent="0.2">
      <c r="A740" s="87" t="s">
        <v>291</v>
      </c>
      <c r="B740" s="74" t="s">
        <v>200</v>
      </c>
      <c r="C740" s="81">
        <v>188.83</v>
      </c>
    </row>
    <row r="741" spans="1:3" x14ac:dyDescent="0.2">
      <c r="A741" s="87" t="s">
        <v>291</v>
      </c>
      <c r="B741" s="74" t="s">
        <v>200</v>
      </c>
      <c r="C741" s="81">
        <v>188.83</v>
      </c>
    </row>
    <row r="742" spans="1:3" x14ac:dyDescent="0.2">
      <c r="A742" s="87" t="s">
        <v>291</v>
      </c>
      <c r="B742" s="74" t="s">
        <v>200</v>
      </c>
      <c r="C742" s="81">
        <v>188.83</v>
      </c>
    </row>
    <row r="743" spans="1:3" x14ac:dyDescent="0.2">
      <c r="A743" s="87" t="s">
        <v>291</v>
      </c>
      <c r="B743" s="74" t="s">
        <v>200</v>
      </c>
      <c r="C743" s="81">
        <v>188.83</v>
      </c>
    </row>
    <row r="744" spans="1:3" x14ac:dyDescent="0.2">
      <c r="A744" s="87" t="s">
        <v>291</v>
      </c>
      <c r="B744" s="74" t="s">
        <v>200</v>
      </c>
      <c r="C744" s="81">
        <v>188.83</v>
      </c>
    </row>
    <row r="745" spans="1:3" x14ac:dyDescent="0.2">
      <c r="A745" s="87" t="s">
        <v>291</v>
      </c>
      <c r="B745" s="74" t="s">
        <v>200</v>
      </c>
      <c r="C745" s="81">
        <v>188.83</v>
      </c>
    </row>
    <row r="746" spans="1:3" x14ac:dyDescent="0.2">
      <c r="A746" s="87" t="s">
        <v>291</v>
      </c>
      <c r="B746" s="74" t="s">
        <v>200</v>
      </c>
      <c r="C746" s="81">
        <v>188.83</v>
      </c>
    </row>
    <row r="747" spans="1:3" x14ac:dyDescent="0.2">
      <c r="A747" s="87" t="s">
        <v>291</v>
      </c>
      <c r="B747" s="74" t="s">
        <v>200</v>
      </c>
      <c r="C747" s="81">
        <v>188.83</v>
      </c>
    </row>
    <row r="748" spans="1:3" x14ac:dyDescent="0.2">
      <c r="A748" s="87" t="s">
        <v>291</v>
      </c>
      <c r="B748" s="74" t="s">
        <v>200</v>
      </c>
      <c r="C748" s="81">
        <v>188.83</v>
      </c>
    </row>
    <row r="749" spans="1:3" x14ac:dyDescent="0.2">
      <c r="A749" s="87" t="s">
        <v>291</v>
      </c>
      <c r="B749" s="74" t="s">
        <v>200</v>
      </c>
      <c r="C749" s="81">
        <v>188.83</v>
      </c>
    </row>
    <row r="750" spans="1:3" x14ac:dyDescent="0.2">
      <c r="A750" s="87" t="s">
        <v>291</v>
      </c>
      <c r="B750" s="74" t="s">
        <v>200</v>
      </c>
      <c r="C750" s="81">
        <v>188.83</v>
      </c>
    </row>
    <row r="751" spans="1:3" x14ac:dyDescent="0.2">
      <c r="A751" s="87" t="s">
        <v>291</v>
      </c>
      <c r="B751" s="74" t="s">
        <v>200</v>
      </c>
      <c r="C751" s="81">
        <v>188.83</v>
      </c>
    </row>
    <row r="752" spans="1:3" x14ac:dyDescent="0.2">
      <c r="A752" s="87" t="s">
        <v>291</v>
      </c>
      <c r="B752" s="74" t="s">
        <v>200</v>
      </c>
      <c r="C752" s="81">
        <v>188.83</v>
      </c>
    </row>
    <row r="753" spans="1:3" x14ac:dyDescent="0.2">
      <c r="A753" s="87" t="s">
        <v>291</v>
      </c>
      <c r="B753" s="74" t="s">
        <v>200</v>
      </c>
      <c r="C753" s="81">
        <v>188.83</v>
      </c>
    </row>
    <row r="754" spans="1:3" x14ac:dyDescent="0.2">
      <c r="A754" s="87" t="s">
        <v>291</v>
      </c>
      <c r="B754" s="74" t="s">
        <v>200</v>
      </c>
      <c r="C754" s="81">
        <v>188.83</v>
      </c>
    </row>
    <row r="755" spans="1:3" x14ac:dyDescent="0.2">
      <c r="A755" s="87" t="s">
        <v>291</v>
      </c>
      <c r="B755" s="74" t="s">
        <v>200</v>
      </c>
      <c r="C755" s="81">
        <v>188.83</v>
      </c>
    </row>
    <row r="756" spans="1:3" x14ac:dyDescent="0.2">
      <c r="A756" s="87" t="s">
        <v>291</v>
      </c>
      <c r="B756" s="74" t="s">
        <v>200</v>
      </c>
      <c r="C756" s="81">
        <v>188.83</v>
      </c>
    </row>
    <row r="757" spans="1:3" x14ac:dyDescent="0.2">
      <c r="A757" s="87" t="s">
        <v>291</v>
      </c>
      <c r="B757" s="74" t="s">
        <v>200</v>
      </c>
      <c r="C757" s="81">
        <v>188.83</v>
      </c>
    </row>
    <row r="758" spans="1:3" x14ac:dyDescent="0.2">
      <c r="A758" s="87" t="s">
        <v>291</v>
      </c>
      <c r="B758" s="74" t="s">
        <v>200</v>
      </c>
      <c r="C758" s="81">
        <v>188.83</v>
      </c>
    </row>
    <row r="759" spans="1:3" x14ac:dyDescent="0.2">
      <c r="A759" s="87" t="s">
        <v>291</v>
      </c>
      <c r="B759" s="74" t="s">
        <v>200</v>
      </c>
      <c r="C759" s="81">
        <v>188.83</v>
      </c>
    </row>
    <row r="760" spans="1:3" x14ac:dyDescent="0.2">
      <c r="A760" s="87" t="s">
        <v>291</v>
      </c>
      <c r="B760" s="74" t="s">
        <v>200</v>
      </c>
      <c r="C760" s="81">
        <v>188.83</v>
      </c>
    </row>
    <row r="761" spans="1:3" x14ac:dyDescent="0.2">
      <c r="A761" s="87" t="s">
        <v>291</v>
      </c>
      <c r="B761" s="74" t="s">
        <v>200</v>
      </c>
      <c r="C761" s="81">
        <v>188.83</v>
      </c>
    </row>
    <row r="762" spans="1:3" x14ac:dyDescent="0.2">
      <c r="A762" s="87" t="s">
        <v>291</v>
      </c>
      <c r="B762" s="74" t="s">
        <v>200</v>
      </c>
      <c r="C762" s="81">
        <v>188.83</v>
      </c>
    </row>
    <row r="763" spans="1:3" x14ac:dyDescent="0.2">
      <c r="A763" s="87" t="s">
        <v>291</v>
      </c>
      <c r="B763" s="74" t="s">
        <v>200</v>
      </c>
      <c r="C763" s="81">
        <v>188.83</v>
      </c>
    </row>
    <row r="764" spans="1:3" x14ac:dyDescent="0.2">
      <c r="A764" s="87" t="s">
        <v>291</v>
      </c>
      <c r="B764" s="74" t="s">
        <v>200</v>
      </c>
      <c r="C764" s="81">
        <v>188.83</v>
      </c>
    </row>
    <row r="765" spans="1:3" x14ac:dyDescent="0.2">
      <c r="A765" s="87" t="s">
        <v>291</v>
      </c>
      <c r="B765" s="74" t="s">
        <v>200</v>
      </c>
      <c r="C765" s="81">
        <v>188.83</v>
      </c>
    </row>
    <row r="766" spans="1:3" x14ac:dyDescent="0.2">
      <c r="A766" s="87" t="s">
        <v>291</v>
      </c>
      <c r="B766" s="74" t="s">
        <v>200</v>
      </c>
      <c r="C766" s="81">
        <v>188.83</v>
      </c>
    </row>
    <row r="767" spans="1:3" x14ac:dyDescent="0.2">
      <c r="A767" s="87" t="s">
        <v>291</v>
      </c>
      <c r="B767" s="74" t="s">
        <v>200</v>
      </c>
      <c r="C767" s="81">
        <v>188.83</v>
      </c>
    </row>
    <row r="768" spans="1:3" x14ac:dyDescent="0.2">
      <c r="A768" s="87" t="s">
        <v>291</v>
      </c>
      <c r="B768" s="74" t="s">
        <v>200</v>
      </c>
      <c r="C768" s="81">
        <v>188.83</v>
      </c>
    </row>
    <row r="769" spans="1:3" x14ac:dyDescent="0.2">
      <c r="A769" s="87" t="s">
        <v>291</v>
      </c>
      <c r="B769" s="74" t="s">
        <v>200</v>
      </c>
      <c r="C769" s="81">
        <v>188.83</v>
      </c>
    </row>
    <row r="770" spans="1:3" x14ac:dyDescent="0.2">
      <c r="A770" s="87" t="s">
        <v>291</v>
      </c>
      <c r="B770" s="74" t="s">
        <v>200</v>
      </c>
      <c r="C770" s="81">
        <v>188.83</v>
      </c>
    </row>
    <row r="771" spans="1:3" x14ac:dyDescent="0.2">
      <c r="A771" s="87" t="s">
        <v>291</v>
      </c>
      <c r="B771" s="74" t="s">
        <v>200</v>
      </c>
      <c r="C771" s="81">
        <v>188.83</v>
      </c>
    </row>
    <row r="772" spans="1:3" x14ac:dyDescent="0.2">
      <c r="A772" s="87" t="s">
        <v>291</v>
      </c>
      <c r="B772" s="74" t="s">
        <v>200</v>
      </c>
      <c r="C772" s="81">
        <v>188.83</v>
      </c>
    </row>
    <row r="773" spans="1:3" x14ac:dyDescent="0.2">
      <c r="A773" s="87" t="s">
        <v>291</v>
      </c>
      <c r="B773" s="74" t="s">
        <v>200</v>
      </c>
      <c r="C773" s="81">
        <v>188.83</v>
      </c>
    </row>
    <row r="774" spans="1:3" x14ac:dyDescent="0.2">
      <c r="A774" s="87" t="s">
        <v>291</v>
      </c>
      <c r="B774" s="74" t="s">
        <v>200</v>
      </c>
      <c r="C774" s="81">
        <v>188.83</v>
      </c>
    </row>
    <row r="775" spans="1:3" x14ac:dyDescent="0.2">
      <c r="A775" s="87" t="s">
        <v>291</v>
      </c>
      <c r="B775" s="74" t="s">
        <v>200</v>
      </c>
      <c r="C775" s="81">
        <v>188.83</v>
      </c>
    </row>
    <row r="776" spans="1:3" x14ac:dyDescent="0.2">
      <c r="A776" s="87" t="s">
        <v>291</v>
      </c>
      <c r="B776" s="74" t="s">
        <v>200</v>
      </c>
      <c r="C776" s="81">
        <v>188.83</v>
      </c>
    </row>
    <row r="777" spans="1:3" x14ac:dyDescent="0.2">
      <c r="A777" s="87" t="s">
        <v>291</v>
      </c>
      <c r="B777" s="74" t="s">
        <v>200</v>
      </c>
      <c r="C777" s="81">
        <v>188.83</v>
      </c>
    </row>
    <row r="778" spans="1:3" x14ac:dyDescent="0.2">
      <c r="A778" s="87" t="s">
        <v>291</v>
      </c>
      <c r="B778" s="74" t="s">
        <v>200</v>
      </c>
      <c r="C778" s="81">
        <v>188.83</v>
      </c>
    </row>
    <row r="779" spans="1:3" x14ac:dyDescent="0.2">
      <c r="A779" s="87" t="s">
        <v>291</v>
      </c>
      <c r="B779" s="74" t="s">
        <v>200</v>
      </c>
      <c r="C779" s="81">
        <v>188.83</v>
      </c>
    </row>
    <row r="780" spans="1:3" x14ac:dyDescent="0.2">
      <c r="A780" s="87" t="s">
        <v>291</v>
      </c>
      <c r="B780" s="74" t="s">
        <v>200</v>
      </c>
      <c r="C780" s="81">
        <v>188.83</v>
      </c>
    </row>
    <row r="781" spans="1:3" x14ac:dyDescent="0.2">
      <c r="A781" s="87" t="s">
        <v>291</v>
      </c>
      <c r="B781" s="74" t="s">
        <v>200</v>
      </c>
      <c r="C781" s="81">
        <v>188.83</v>
      </c>
    </row>
    <row r="782" spans="1:3" x14ac:dyDescent="0.2">
      <c r="A782" s="87" t="s">
        <v>291</v>
      </c>
      <c r="B782" s="74" t="s">
        <v>200</v>
      </c>
      <c r="C782" s="81">
        <v>188.83</v>
      </c>
    </row>
    <row r="783" spans="1:3" x14ac:dyDescent="0.2">
      <c r="A783" s="87" t="s">
        <v>291</v>
      </c>
      <c r="B783" s="74" t="s">
        <v>200</v>
      </c>
      <c r="C783" s="81">
        <v>188.83</v>
      </c>
    </row>
    <row r="784" spans="1:3" x14ac:dyDescent="0.2">
      <c r="A784" s="87" t="s">
        <v>291</v>
      </c>
      <c r="B784" s="74" t="s">
        <v>200</v>
      </c>
      <c r="C784" s="81">
        <v>188.83</v>
      </c>
    </row>
    <row r="785" spans="1:3" x14ac:dyDescent="0.2">
      <c r="A785" s="87" t="s">
        <v>291</v>
      </c>
      <c r="B785" s="74" t="s">
        <v>200</v>
      </c>
      <c r="C785" s="81">
        <v>188.83</v>
      </c>
    </row>
    <row r="786" spans="1:3" x14ac:dyDescent="0.2">
      <c r="A786" s="87" t="s">
        <v>291</v>
      </c>
      <c r="B786" s="74" t="s">
        <v>200</v>
      </c>
      <c r="C786" s="81">
        <v>188.83</v>
      </c>
    </row>
    <row r="787" spans="1:3" x14ac:dyDescent="0.2">
      <c r="A787" s="87" t="s">
        <v>291</v>
      </c>
      <c r="B787" s="74" t="s">
        <v>200</v>
      </c>
      <c r="C787" s="81">
        <v>188.83</v>
      </c>
    </row>
    <row r="788" spans="1:3" x14ac:dyDescent="0.2">
      <c r="A788" s="87" t="s">
        <v>291</v>
      </c>
      <c r="B788" s="74" t="s">
        <v>200</v>
      </c>
      <c r="C788" s="81">
        <v>188.83</v>
      </c>
    </row>
    <row r="789" spans="1:3" x14ac:dyDescent="0.2">
      <c r="A789" s="87" t="s">
        <v>291</v>
      </c>
      <c r="B789" s="74" t="s">
        <v>200</v>
      </c>
      <c r="C789" s="81">
        <v>188.83</v>
      </c>
    </row>
    <row r="790" spans="1:3" x14ac:dyDescent="0.2">
      <c r="A790" s="87" t="s">
        <v>291</v>
      </c>
      <c r="B790" s="74" t="s">
        <v>200</v>
      </c>
      <c r="C790" s="81">
        <v>188.83</v>
      </c>
    </row>
    <row r="791" spans="1:3" x14ac:dyDescent="0.2">
      <c r="A791" s="87" t="s">
        <v>291</v>
      </c>
      <c r="B791" s="74" t="s">
        <v>200</v>
      </c>
      <c r="C791" s="81">
        <v>188.83</v>
      </c>
    </row>
    <row r="792" spans="1:3" x14ac:dyDescent="0.2">
      <c r="A792" s="87" t="s">
        <v>291</v>
      </c>
      <c r="B792" s="74" t="s">
        <v>200</v>
      </c>
      <c r="C792" s="81">
        <v>188.83</v>
      </c>
    </row>
    <row r="793" spans="1:3" x14ac:dyDescent="0.2">
      <c r="A793" s="87" t="s">
        <v>291</v>
      </c>
      <c r="B793" s="74" t="s">
        <v>200</v>
      </c>
      <c r="C793" s="81">
        <v>188.83</v>
      </c>
    </row>
    <row r="794" spans="1:3" x14ac:dyDescent="0.2">
      <c r="A794" s="87" t="s">
        <v>291</v>
      </c>
      <c r="B794" s="74" t="s">
        <v>200</v>
      </c>
      <c r="C794" s="81">
        <v>188.83</v>
      </c>
    </row>
    <row r="795" spans="1:3" x14ac:dyDescent="0.2">
      <c r="A795" s="87" t="s">
        <v>291</v>
      </c>
      <c r="B795" s="74" t="s">
        <v>200</v>
      </c>
      <c r="C795" s="81">
        <v>188.83</v>
      </c>
    </row>
    <row r="796" spans="1:3" x14ac:dyDescent="0.2">
      <c r="A796" s="87" t="s">
        <v>291</v>
      </c>
      <c r="B796" s="74" t="s">
        <v>200</v>
      </c>
      <c r="C796" s="81">
        <v>188.83</v>
      </c>
    </row>
    <row r="797" spans="1:3" x14ac:dyDescent="0.2">
      <c r="A797" s="87" t="s">
        <v>291</v>
      </c>
      <c r="B797" s="74" t="s">
        <v>200</v>
      </c>
      <c r="C797" s="81">
        <v>188.83</v>
      </c>
    </row>
    <row r="798" spans="1:3" x14ac:dyDescent="0.2">
      <c r="A798" s="87" t="s">
        <v>291</v>
      </c>
      <c r="B798" s="74" t="s">
        <v>200</v>
      </c>
      <c r="C798" s="81">
        <v>188.83</v>
      </c>
    </row>
    <row r="799" spans="1:3" x14ac:dyDescent="0.2">
      <c r="A799" s="87" t="s">
        <v>291</v>
      </c>
      <c r="B799" s="74" t="s">
        <v>200</v>
      </c>
      <c r="C799" s="81">
        <v>188.83</v>
      </c>
    </row>
    <row r="800" spans="1:3" x14ac:dyDescent="0.2">
      <c r="A800" s="87" t="s">
        <v>291</v>
      </c>
      <c r="B800" s="74" t="s">
        <v>200</v>
      </c>
      <c r="C800" s="81">
        <v>188.83</v>
      </c>
    </row>
    <row r="801" spans="1:3" x14ac:dyDescent="0.2">
      <c r="A801" s="87" t="s">
        <v>291</v>
      </c>
      <c r="B801" s="74" t="s">
        <v>200</v>
      </c>
      <c r="C801" s="81">
        <v>188.83</v>
      </c>
    </row>
    <row r="802" spans="1:3" x14ac:dyDescent="0.2">
      <c r="A802" s="87" t="s">
        <v>291</v>
      </c>
      <c r="B802" s="74" t="s">
        <v>200</v>
      </c>
      <c r="C802" s="81">
        <v>188.83</v>
      </c>
    </row>
    <row r="803" spans="1:3" x14ac:dyDescent="0.2">
      <c r="A803" s="87" t="s">
        <v>291</v>
      </c>
      <c r="B803" s="74" t="s">
        <v>200</v>
      </c>
      <c r="C803" s="81">
        <v>188.83</v>
      </c>
    </row>
    <row r="804" spans="1:3" x14ac:dyDescent="0.2">
      <c r="A804" s="87" t="s">
        <v>291</v>
      </c>
      <c r="B804" s="74" t="s">
        <v>200</v>
      </c>
      <c r="C804" s="81">
        <v>188.83</v>
      </c>
    </row>
    <row r="805" spans="1:3" x14ac:dyDescent="0.2">
      <c r="A805" s="87" t="s">
        <v>291</v>
      </c>
      <c r="B805" s="74" t="s">
        <v>200</v>
      </c>
      <c r="C805" s="81">
        <v>188.83</v>
      </c>
    </row>
    <row r="806" spans="1:3" x14ac:dyDescent="0.2">
      <c r="A806" s="87" t="s">
        <v>291</v>
      </c>
      <c r="B806" s="74" t="s">
        <v>200</v>
      </c>
      <c r="C806" s="81">
        <v>188.83</v>
      </c>
    </row>
    <row r="807" spans="1:3" x14ac:dyDescent="0.2">
      <c r="A807" s="87" t="s">
        <v>291</v>
      </c>
      <c r="B807" s="74" t="s">
        <v>200</v>
      </c>
      <c r="C807" s="81">
        <v>188.83</v>
      </c>
    </row>
    <row r="808" spans="1:3" x14ac:dyDescent="0.2">
      <c r="A808" s="87" t="s">
        <v>291</v>
      </c>
      <c r="B808" s="74" t="s">
        <v>200</v>
      </c>
      <c r="C808" s="81">
        <v>188.83</v>
      </c>
    </row>
    <row r="809" spans="1:3" x14ac:dyDescent="0.2">
      <c r="A809" s="87" t="s">
        <v>291</v>
      </c>
      <c r="B809" s="74" t="s">
        <v>200</v>
      </c>
      <c r="C809" s="81">
        <v>188.83</v>
      </c>
    </row>
    <row r="810" spans="1:3" x14ac:dyDescent="0.2">
      <c r="A810" s="87" t="s">
        <v>291</v>
      </c>
      <c r="B810" s="74" t="s">
        <v>200</v>
      </c>
      <c r="C810" s="81">
        <v>188.83</v>
      </c>
    </row>
    <row r="811" spans="1:3" x14ac:dyDescent="0.2">
      <c r="A811" s="87" t="s">
        <v>291</v>
      </c>
      <c r="B811" s="74" t="s">
        <v>200</v>
      </c>
      <c r="C811" s="81">
        <v>188.83</v>
      </c>
    </row>
    <row r="812" spans="1:3" x14ac:dyDescent="0.2">
      <c r="A812" s="87" t="s">
        <v>291</v>
      </c>
      <c r="B812" s="74" t="s">
        <v>200</v>
      </c>
      <c r="C812" s="81">
        <v>188.83</v>
      </c>
    </row>
    <row r="813" spans="1:3" x14ac:dyDescent="0.2">
      <c r="A813" s="87" t="s">
        <v>291</v>
      </c>
      <c r="B813" s="74" t="s">
        <v>200</v>
      </c>
      <c r="C813" s="81">
        <v>188.83</v>
      </c>
    </row>
    <row r="814" spans="1:3" x14ac:dyDescent="0.2">
      <c r="A814" s="87" t="s">
        <v>291</v>
      </c>
      <c r="B814" s="74" t="s">
        <v>200</v>
      </c>
      <c r="C814" s="81">
        <v>188.83</v>
      </c>
    </row>
    <row r="815" spans="1:3" x14ac:dyDescent="0.2">
      <c r="A815" s="87" t="s">
        <v>291</v>
      </c>
      <c r="B815" s="74" t="s">
        <v>200</v>
      </c>
      <c r="C815" s="81">
        <v>188.83</v>
      </c>
    </row>
    <row r="816" spans="1:3" x14ac:dyDescent="0.2">
      <c r="A816" s="87" t="s">
        <v>291</v>
      </c>
      <c r="B816" s="74" t="s">
        <v>200</v>
      </c>
      <c r="C816" s="81">
        <v>188.83</v>
      </c>
    </row>
    <row r="817" spans="1:3" x14ac:dyDescent="0.2">
      <c r="A817" s="87" t="s">
        <v>291</v>
      </c>
      <c r="B817" s="74" t="s">
        <v>200</v>
      </c>
      <c r="C817" s="81">
        <v>188.83</v>
      </c>
    </row>
    <row r="818" spans="1:3" x14ac:dyDescent="0.2">
      <c r="A818" s="87" t="s">
        <v>291</v>
      </c>
      <c r="B818" s="74" t="s">
        <v>200</v>
      </c>
      <c r="C818" s="81">
        <v>188.83</v>
      </c>
    </row>
    <row r="819" spans="1:3" x14ac:dyDescent="0.2">
      <c r="A819" s="87" t="s">
        <v>291</v>
      </c>
      <c r="B819" s="74" t="s">
        <v>200</v>
      </c>
      <c r="C819" s="81">
        <v>188.83</v>
      </c>
    </row>
    <row r="820" spans="1:3" x14ac:dyDescent="0.2">
      <c r="A820" s="87" t="s">
        <v>291</v>
      </c>
      <c r="B820" s="74" t="s">
        <v>200</v>
      </c>
      <c r="C820" s="81">
        <v>188.83</v>
      </c>
    </row>
    <row r="821" spans="1:3" x14ac:dyDescent="0.2">
      <c r="A821" s="87" t="s">
        <v>291</v>
      </c>
      <c r="B821" s="74" t="s">
        <v>200</v>
      </c>
      <c r="C821" s="81">
        <v>188.83</v>
      </c>
    </row>
    <row r="822" spans="1:3" x14ac:dyDescent="0.2">
      <c r="A822" s="87" t="s">
        <v>291</v>
      </c>
      <c r="B822" s="74" t="s">
        <v>200</v>
      </c>
      <c r="C822" s="81">
        <v>188.83</v>
      </c>
    </row>
    <row r="823" spans="1:3" x14ac:dyDescent="0.2">
      <c r="A823" s="87" t="s">
        <v>291</v>
      </c>
      <c r="B823" s="74" t="s">
        <v>200</v>
      </c>
      <c r="C823" s="81">
        <v>188.83</v>
      </c>
    </row>
    <row r="824" spans="1:3" x14ac:dyDescent="0.2">
      <c r="A824" s="87" t="s">
        <v>291</v>
      </c>
      <c r="B824" s="74" t="s">
        <v>200</v>
      </c>
      <c r="C824" s="81">
        <v>188.83</v>
      </c>
    </row>
    <row r="825" spans="1:3" x14ac:dyDescent="0.2">
      <c r="A825" s="87" t="s">
        <v>291</v>
      </c>
      <c r="B825" s="74" t="s">
        <v>200</v>
      </c>
      <c r="C825" s="81">
        <v>188.83</v>
      </c>
    </row>
    <row r="826" spans="1:3" x14ac:dyDescent="0.2">
      <c r="A826" s="87" t="s">
        <v>291</v>
      </c>
      <c r="B826" s="74" t="s">
        <v>200</v>
      </c>
      <c r="C826" s="81">
        <v>188.83</v>
      </c>
    </row>
    <row r="827" spans="1:3" x14ac:dyDescent="0.2">
      <c r="A827" s="87" t="s">
        <v>291</v>
      </c>
      <c r="B827" s="74" t="s">
        <v>200</v>
      </c>
      <c r="C827" s="81">
        <v>188.83</v>
      </c>
    </row>
    <row r="828" spans="1:3" x14ac:dyDescent="0.2">
      <c r="A828" s="87" t="s">
        <v>291</v>
      </c>
      <c r="B828" s="74" t="s">
        <v>200</v>
      </c>
      <c r="C828" s="81">
        <v>188.83</v>
      </c>
    </row>
    <row r="829" spans="1:3" x14ac:dyDescent="0.2">
      <c r="A829" s="87" t="s">
        <v>291</v>
      </c>
      <c r="B829" s="74" t="s">
        <v>200</v>
      </c>
      <c r="C829" s="81">
        <v>188.83</v>
      </c>
    </row>
    <row r="830" spans="1:3" x14ac:dyDescent="0.2">
      <c r="A830" s="87" t="s">
        <v>291</v>
      </c>
      <c r="B830" s="74" t="s">
        <v>200</v>
      </c>
      <c r="C830" s="81">
        <v>188.83</v>
      </c>
    </row>
    <row r="831" spans="1:3" x14ac:dyDescent="0.2">
      <c r="A831" s="87" t="s">
        <v>291</v>
      </c>
      <c r="B831" s="74" t="s">
        <v>200</v>
      </c>
      <c r="C831" s="81">
        <v>188.83</v>
      </c>
    </row>
    <row r="832" spans="1:3" x14ac:dyDescent="0.2">
      <c r="A832" s="87" t="s">
        <v>291</v>
      </c>
      <c r="B832" s="74" t="s">
        <v>200</v>
      </c>
      <c r="C832" s="81">
        <v>188.83</v>
      </c>
    </row>
    <row r="833" spans="1:3" x14ac:dyDescent="0.2">
      <c r="A833" s="87" t="s">
        <v>291</v>
      </c>
      <c r="B833" s="74" t="s">
        <v>200</v>
      </c>
      <c r="C833" s="81">
        <v>188.83</v>
      </c>
    </row>
    <row r="834" spans="1:3" x14ac:dyDescent="0.2">
      <c r="A834" s="87" t="s">
        <v>291</v>
      </c>
      <c r="B834" s="74" t="s">
        <v>200</v>
      </c>
      <c r="C834" s="81">
        <v>188.83</v>
      </c>
    </row>
    <row r="835" spans="1:3" x14ac:dyDescent="0.2">
      <c r="A835" s="87" t="s">
        <v>291</v>
      </c>
      <c r="B835" s="74" t="s">
        <v>200</v>
      </c>
      <c r="C835" s="81">
        <v>188.83</v>
      </c>
    </row>
    <row r="836" spans="1:3" x14ac:dyDescent="0.2">
      <c r="A836" s="87" t="s">
        <v>291</v>
      </c>
      <c r="B836" s="74" t="s">
        <v>200</v>
      </c>
      <c r="C836" s="81">
        <v>188.83</v>
      </c>
    </row>
    <row r="837" spans="1:3" x14ac:dyDescent="0.2">
      <c r="A837" s="87" t="s">
        <v>291</v>
      </c>
      <c r="B837" s="74" t="s">
        <v>200</v>
      </c>
      <c r="C837" s="81">
        <v>188.83</v>
      </c>
    </row>
    <row r="838" spans="1:3" x14ac:dyDescent="0.2">
      <c r="A838" s="87" t="s">
        <v>291</v>
      </c>
      <c r="B838" s="74" t="s">
        <v>200</v>
      </c>
      <c r="C838" s="81">
        <v>188.83</v>
      </c>
    </row>
    <row r="839" spans="1:3" x14ac:dyDescent="0.2">
      <c r="A839" s="87" t="s">
        <v>291</v>
      </c>
      <c r="B839" s="74" t="s">
        <v>200</v>
      </c>
      <c r="C839" s="81">
        <v>188.83</v>
      </c>
    </row>
    <row r="840" spans="1:3" x14ac:dyDescent="0.2">
      <c r="A840" s="87" t="s">
        <v>291</v>
      </c>
      <c r="B840" s="74" t="s">
        <v>200</v>
      </c>
      <c r="C840" s="81">
        <v>188.83</v>
      </c>
    </row>
    <row r="841" spans="1:3" x14ac:dyDescent="0.2">
      <c r="A841" s="87" t="s">
        <v>291</v>
      </c>
      <c r="B841" s="74" t="s">
        <v>200</v>
      </c>
      <c r="C841" s="81">
        <v>188.83</v>
      </c>
    </row>
    <row r="842" spans="1:3" x14ac:dyDescent="0.2">
      <c r="A842" s="87" t="s">
        <v>291</v>
      </c>
      <c r="B842" s="74" t="s">
        <v>178</v>
      </c>
      <c r="C842" s="81">
        <v>538.26</v>
      </c>
    </row>
    <row r="843" spans="1:3" x14ac:dyDescent="0.2">
      <c r="A843" s="87" t="s">
        <v>291</v>
      </c>
      <c r="B843" s="74" t="s">
        <v>178</v>
      </c>
      <c r="C843" s="81">
        <v>538.26</v>
      </c>
    </row>
    <row r="844" spans="1:3" x14ac:dyDescent="0.2">
      <c r="A844" s="87" t="s">
        <v>291</v>
      </c>
      <c r="B844" s="74" t="s">
        <v>178</v>
      </c>
      <c r="C844" s="81">
        <v>538.26</v>
      </c>
    </row>
    <row r="845" spans="1:3" x14ac:dyDescent="0.2">
      <c r="A845" s="87" t="s">
        <v>291</v>
      </c>
      <c r="B845" s="74" t="s">
        <v>178</v>
      </c>
      <c r="C845" s="81">
        <v>538.26</v>
      </c>
    </row>
    <row r="846" spans="1:3" x14ac:dyDescent="0.2">
      <c r="A846" s="87" t="s">
        <v>291</v>
      </c>
      <c r="B846" s="74" t="s">
        <v>178</v>
      </c>
      <c r="C846" s="81">
        <v>538.26</v>
      </c>
    </row>
    <row r="847" spans="1:3" x14ac:dyDescent="0.2">
      <c r="A847" s="87" t="s">
        <v>291</v>
      </c>
      <c r="B847" s="74" t="s">
        <v>178</v>
      </c>
      <c r="C847" s="81">
        <v>538.26</v>
      </c>
    </row>
    <row r="848" spans="1:3" x14ac:dyDescent="0.2">
      <c r="A848" s="87" t="s">
        <v>291</v>
      </c>
      <c r="B848" s="74" t="s">
        <v>178</v>
      </c>
      <c r="C848" s="81">
        <v>538.26</v>
      </c>
    </row>
    <row r="849" spans="1:3" x14ac:dyDescent="0.2">
      <c r="A849" s="87" t="s">
        <v>291</v>
      </c>
      <c r="B849" s="74" t="s">
        <v>178</v>
      </c>
      <c r="C849" s="81">
        <v>538.26</v>
      </c>
    </row>
    <row r="850" spans="1:3" x14ac:dyDescent="0.2">
      <c r="A850" s="87" t="s">
        <v>291</v>
      </c>
      <c r="B850" s="74" t="s">
        <v>178</v>
      </c>
      <c r="C850" s="81">
        <v>538.26</v>
      </c>
    </row>
    <row r="851" spans="1:3" x14ac:dyDescent="0.2">
      <c r="A851" s="87" t="s">
        <v>291</v>
      </c>
      <c r="B851" s="74" t="s">
        <v>178</v>
      </c>
      <c r="C851" s="81">
        <v>538.26</v>
      </c>
    </row>
    <row r="852" spans="1:3" x14ac:dyDescent="0.2">
      <c r="A852" s="87" t="s">
        <v>291</v>
      </c>
      <c r="B852" s="74" t="s">
        <v>178</v>
      </c>
      <c r="C852" s="81">
        <v>538.26</v>
      </c>
    </row>
    <row r="853" spans="1:3" x14ac:dyDescent="0.2">
      <c r="A853" s="87" t="s">
        <v>291</v>
      </c>
      <c r="B853" s="74" t="s">
        <v>178</v>
      </c>
      <c r="C853" s="81">
        <v>538.26</v>
      </c>
    </row>
    <row r="854" spans="1:3" x14ac:dyDescent="0.2">
      <c r="A854" s="87" t="s">
        <v>291</v>
      </c>
      <c r="B854" s="74" t="s">
        <v>178</v>
      </c>
      <c r="C854" s="81">
        <v>538.26</v>
      </c>
    </row>
    <row r="855" spans="1:3" x14ac:dyDescent="0.2">
      <c r="A855" s="87" t="s">
        <v>291</v>
      </c>
      <c r="B855" s="74" t="s">
        <v>178</v>
      </c>
      <c r="C855" s="81">
        <v>538.26</v>
      </c>
    </row>
    <row r="856" spans="1:3" x14ac:dyDescent="0.2">
      <c r="A856" s="87" t="s">
        <v>291</v>
      </c>
      <c r="B856" s="74" t="s">
        <v>178</v>
      </c>
      <c r="C856" s="81">
        <v>538.26</v>
      </c>
    </row>
    <row r="857" spans="1:3" x14ac:dyDescent="0.2">
      <c r="A857" s="87" t="s">
        <v>291</v>
      </c>
      <c r="B857" s="74" t="s">
        <v>178</v>
      </c>
      <c r="C857" s="81">
        <v>538.26</v>
      </c>
    </row>
    <row r="858" spans="1:3" x14ac:dyDescent="0.2">
      <c r="A858" s="87" t="s">
        <v>291</v>
      </c>
      <c r="B858" s="74" t="s">
        <v>178</v>
      </c>
      <c r="C858" s="81">
        <v>538.26</v>
      </c>
    </row>
    <row r="859" spans="1:3" x14ac:dyDescent="0.2">
      <c r="A859" s="87" t="s">
        <v>291</v>
      </c>
      <c r="B859" s="74" t="s">
        <v>178</v>
      </c>
      <c r="C859" s="81">
        <v>538.26</v>
      </c>
    </row>
    <row r="860" spans="1:3" x14ac:dyDescent="0.2">
      <c r="A860" s="87" t="s">
        <v>291</v>
      </c>
      <c r="B860" s="74" t="s">
        <v>178</v>
      </c>
      <c r="C860" s="81">
        <v>538.26</v>
      </c>
    </row>
    <row r="861" spans="1:3" x14ac:dyDescent="0.2">
      <c r="A861" s="87" t="s">
        <v>291</v>
      </c>
      <c r="B861" s="74" t="s">
        <v>178</v>
      </c>
      <c r="C861" s="81">
        <v>538.26</v>
      </c>
    </row>
    <row r="862" spans="1:3" x14ac:dyDescent="0.2">
      <c r="A862" s="87" t="s">
        <v>291</v>
      </c>
      <c r="B862" s="74" t="s">
        <v>178</v>
      </c>
      <c r="C862" s="81">
        <v>538.26</v>
      </c>
    </row>
    <row r="863" spans="1:3" x14ac:dyDescent="0.2">
      <c r="A863" s="87" t="s">
        <v>291</v>
      </c>
      <c r="B863" s="74" t="s">
        <v>178</v>
      </c>
      <c r="C863" s="81">
        <v>538.26</v>
      </c>
    </row>
    <row r="864" spans="1:3" x14ac:dyDescent="0.2">
      <c r="A864" s="87" t="s">
        <v>291</v>
      </c>
      <c r="B864" s="74" t="s">
        <v>178</v>
      </c>
      <c r="C864" s="81">
        <v>538.26</v>
      </c>
    </row>
    <row r="865" spans="1:3" x14ac:dyDescent="0.2">
      <c r="A865" s="87" t="s">
        <v>291</v>
      </c>
      <c r="B865" s="74" t="s">
        <v>178</v>
      </c>
      <c r="C865" s="81">
        <v>538.26</v>
      </c>
    </row>
    <row r="866" spans="1:3" x14ac:dyDescent="0.2">
      <c r="A866" s="87" t="s">
        <v>291</v>
      </c>
      <c r="B866" s="74" t="s">
        <v>178</v>
      </c>
      <c r="C866" s="81">
        <v>538.26</v>
      </c>
    </row>
    <row r="867" spans="1:3" x14ac:dyDescent="0.2">
      <c r="A867" s="87" t="s">
        <v>291</v>
      </c>
      <c r="B867" s="74" t="s">
        <v>178</v>
      </c>
      <c r="C867" s="81">
        <v>538.26</v>
      </c>
    </row>
    <row r="868" spans="1:3" x14ac:dyDescent="0.2">
      <c r="A868" s="87" t="s">
        <v>291</v>
      </c>
      <c r="B868" s="74" t="s">
        <v>178</v>
      </c>
      <c r="C868" s="81">
        <v>538.26</v>
      </c>
    </row>
    <row r="869" spans="1:3" x14ac:dyDescent="0.2">
      <c r="A869" s="87" t="s">
        <v>291</v>
      </c>
      <c r="B869" s="74" t="s">
        <v>178</v>
      </c>
      <c r="C869" s="81">
        <v>538.26</v>
      </c>
    </row>
    <row r="870" spans="1:3" x14ac:dyDescent="0.2">
      <c r="A870" s="87" t="s">
        <v>291</v>
      </c>
      <c r="B870" s="74" t="s">
        <v>178</v>
      </c>
      <c r="C870" s="81">
        <v>538.26</v>
      </c>
    </row>
    <row r="871" spans="1:3" x14ac:dyDescent="0.2">
      <c r="A871" s="87" t="s">
        <v>291</v>
      </c>
      <c r="B871" s="74" t="s">
        <v>178</v>
      </c>
      <c r="C871" s="81">
        <v>538.26</v>
      </c>
    </row>
    <row r="872" spans="1:3" x14ac:dyDescent="0.2">
      <c r="A872" s="87" t="s">
        <v>291</v>
      </c>
      <c r="B872" s="74" t="s">
        <v>178</v>
      </c>
      <c r="C872" s="81">
        <v>538.26</v>
      </c>
    </row>
    <row r="873" spans="1:3" x14ac:dyDescent="0.2">
      <c r="A873" s="87" t="s">
        <v>291</v>
      </c>
      <c r="B873" s="74" t="s">
        <v>178</v>
      </c>
      <c r="C873" s="81">
        <v>538.26</v>
      </c>
    </row>
    <row r="874" spans="1:3" x14ac:dyDescent="0.2">
      <c r="A874" s="87" t="s">
        <v>291</v>
      </c>
      <c r="B874" s="74" t="s">
        <v>178</v>
      </c>
      <c r="C874" s="81">
        <v>538.26</v>
      </c>
    </row>
    <row r="875" spans="1:3" x14ac:dyDescent="0.2">
      <c r="A875" s="87" t="s">
        <v>291</v>
      </c>
      <c r="B875" s="74" t="s">
        <v>178</v>
      </c>
      <c r="C875" s="81">
        <v>538.26</v>
      </c>
    </row>
    <row r="876" spans="1:3" x14ac:dyDescent="0.2">
      <c r="A876" s="87" t="s">
        <v>291</v>
      </c>
      <c r="B876" s="74" t="s">
        <v>178</v>
      </c>
      <c r="C876" s="81">
        <v>538.26</v>
      </c>
    </row>
    <row r="877" spans="1:3" x14ac:dyDescent="0.2">
      <c r="A877" s="87" t="s">
        <v>291</v>
      </c>
      <c r="B877" s="74" t="s">
        <v>178</v>
      </c>
      <c r="C877" s="81">
        <v>538.26</v>
      </c>
    </row>
    <row r="878" spans="1:3" x14ac:dyDescent="0.2">
      <c r="A878" s="87" t="s">
        <v>291</v>
      </c>
      <c r="B878" s="74" t="s">
        <v>178</v>
      </c>
      <c r="C878" s="81">
        <v>538.26</v>
      </c>
    </row>
    <row r="879" spans="1:3" x14ac:dyDescent="0.2">
      <c r="A879" s="87" t="s">
        <v>291</v>
      </c>
      <c r="B879" s="74" t="s">
        <v>178</v>
      </c>
      <c r="C879" s="81">
        <v>538.26</v>
      </c>
    </row>
    <row r="880" spans="1:3" x14ac:dyDescent="0.2">
      <c r="A880" s="87" t="s">
        <v>291</v>
      </c>
      <c r="B880" s="74" t="s">
        <v>178</v>
      </c>
      <c r="C880" s="81">
        <v>538.26</v>
      </c>
    </row>
    <row r="881" spans="1:3" x14ac:dyDescent="0.2">
      <c r="A881" s="87" t="s">
        <v>291</v>
      </c>
      <c r="B881" s="74" t="s">
        <v>178</v>
      </c>
      <c r="C881" s="81">
        <v>538.26</v>
      </c>
    </row>
    <row r="882" spans="1:3" x14ac:dyDescent="0.2">
      <c r="A882" s="87" t="s">
        <v>291</v>
      </c>
      <c r="B882" s="74" t="s">
        <v>178</v>
      </c>
      <c r="C882" s="81">
        <v>538.26</v>
      </c>
    </row>
    <row r="883" spans="1:3" x14ac:dyDescent="0.2">
      <c r="A883" s="87" t="s">
        <v>291</v>
      </c>
      <c r="B883" s="74" t="s">
        <v>178</v>
      </c>
      <c r="C883" s="81">
        <v>538.26</v>
      </c>
    </row>
    <row r="884" spans="1:3" x14ac:dyDescent="0.2">
      <c r="A884" s="87" t="s">
        <v>291</v>
      </c>
      <c r="B884" s="74" t="s">
        <v>178</v>
      </c>
      <c r="C884" s="81">
        <v>538.26</v>
      </c>
    </row>
    <row r="885" spans="1:3" x14ac:dyDescent="0.2">
      <c r="A885" s="87" t="s">
        <v>291</v>
      </c>
      <c r="B885" s="74" t="s">
        <v>178</v>
      </c>
      <c r="C885" s="81">
        <v>538.26</v>
      </c>
    </row>
    <row r="886" spans="1:3" x14ac:dyDescent="0.2">
      <c r="A886" s="87" t="s">
        <v>291</v>
      </c>
      <c r="B886" s="74" t="s">
        <v>178</v>
      </c>
      <c r="C886" s="81">
        <v>538.26</v>
      </c>
    </row>
    <row r="887" spans="1:3" x14ac:dyDescent="0.2">
      <c r="A887" s="87" t="s">
        <v>291</v>
      </c>
      <c r="B887" s="74" t="s">
        <v>178</v>
      </c>
      <c r="C887" s="81">
        <v>538.26</v>
      </c>
    </row>
    <row r="888" spans="1:3" x14ac:dyDescent="0.2">
      <c r="A888" s="87" t="s">
        <v>291</v>
      </c>
      <c r="B888" s="74" t="s">
        <v>178</v>
      </c>
      <c r="C888" s="81">
        <v>538.26</v>
      </c>
    </row>
    <row r="889" spans="1:3" x14ac:dyDescent="0.2">
      <c r="A889" s="87" t="s">
        <v>291</v>
      </c>
      <c r="B889" s="74" t="s">
        <v>178</v>
      </c>
      <c r="C889" s="81">
        <v>538.26</v>
      </c>
    </row>
    <row r="890" spans="1:3" x14ac:dyDescent="0.2">
      <c r="A890" s="87" t="s">
        <v>291</v>
      </c>
      <c r="B890" s="74" t="s">
        <v>178</v>
      </c>
      <c r="C890" s="81">
        <v>538.26</v>
      </c>
    </row>
    <row r="891" spans="1:3" x14ac:dyDescent="0.2">
      <c r="A891" s="87" t="s">
        <v>291</v>
      </c>
      <c r="B891" s="74" t="s">
        <v>178</v>
      </c>
      <c r="C891" s="81">
        <v>538.26</v>
      </c>
    </row>
    <row r="892" spans="1:3" x14ac:dyDescent="0.2">
      <c r="A892" s="87" t="s">
        <v>291</v>
      </c>
      <c r="B892" s="74" t="s">
        <v>178</v>
      </c>
      <c r="C892" s="81">
        <v>538.26</v>
      </c>
    </row>
    <row r="893" spans="1:3" x14ac:dyDescent="0.2">
      <c r="A893" s="87" t="s">
        <v>291</v>
      </c>
      <c r="B893" s="74" t="s">
        <v>178</v>
      </c>
      <c r="C893" s="81">
        <v>538.26</v>
      </c>
    </row>
    <row r="894" spans="1:3" x14ac:dyDescent="0.2">
      <c r="A894" s="87" t="s">
        <v>291</v>
      </c>
      <c r="B894" s="74" t="s">
        <v>178</v>
      </c>
      <c r="C894" s="81">
        <v>538.26</v>
      </c>
    </row>
    <row r="895" spans="1:3" x14ac:dyDescent="0.2">
      <c r="A895" s="87" t="s">
        <v>291</v>
      </c>
      <c r="B895" s="74" t="s">
        <v>178</v>
      </c>
      <c r="C895" s="81">
        <v>538.26</v>
      </c>
    </row>
    <row r="896" spans="1:3" x14ac:dyDescent="0.2">
      <c r="A896" s="87" t="s">
        <v>291</v>
      </c>
      <c r="B896" s="74" t="s">
        <v>178</v>
      </c>
      <c r="C896" s="81">
        <v>538.26</v>
      </c>
    </row>
    <row r="897" spans="1:3" x14ac:dyDescent="0.2">
      <c r="A897" s="87" t="s">
        <v>291</v>
      </c>
      <c r="B897" s="74" t="s">
        <v>178</v>
      </c>
      <c r="C897" s="81">
        <v>538.26</v>
      </c>
    </row>
    <row r="898" spans="1:3" x14ac:dyDescent="0.2">
      <c r="A898" s="87" t="s">
        <v>291</v>
      </c>
      <c r="B898" s="74" t="s">
        <v>178</v>
      </c>
      <c r="C898" s="81">
        <v>538.26</v>
      </c>
    </row>
    <row r="899" spans="1:3" x14ac:dyDescent="0.2">
      <c r="A899" s="87" t="s">
        <v>291</v>
      </c>
      <c r="B899" s="74" t="s">
        <v>178</v>
      </c>
      <c r="C899" s="81">
        <v>538.26</v>
      </c>
    </row>
    <row r="900" spans="1:3" x14ac:dyDescent="0.2">
      <c r="A900" s="87" t="s">
        <v>291</v>
      </c>
      <c r="B900" s="74" t="s">
        <v>178</v>
      </c>
      <c r="C900" s="81">
        <v>538.26</v>
      </c>
    </row>
    <row r="901" spans="1:3" x14ac:dyDescent="0.2">
      <c r="A901" s="87" t="s">
        <v>291</v>
      </c>
      <c r="B901" s="74" t="s">
        <v>178</v>
      </c>
      <c r="C901" s="81">
        <v>538.26</v>
      </c>
    </row>
    <row r="902" spans="1:3" x14ac:dyDescent="0.2">
      <c r="A902" s="87" t="s">
        <v>291</v>
      </c>
      <c r="B902" s="74" t="s">
        <v>178</v>
      </c>
      <c r="C902" s="81">
        <v>538.26</v>
      </c>
    </row>
    <row r="903" spans="1:3" x14ac:dyDescent="0.2">
      <c r="A903" s="87" t="s">
        <v>291</v>
      </c>
      <c r="B903" s="74" t="s">
        <v>178</v>
      </c>
      <c r="C903" s="81">
        <v>538.26</v>
      </c>
    </row>
    <row r="904" spans="1:3" x14ac:dyDescent="0.2">
      <c r="A904" s="87" t="s">
        <v>291</v>
      </c>
      <c r="B904" s="74" t="s">
        <v>178</v>
      </c>
      <c r="C904" s="81">
        <v>538.26</v>
      </c>
    </row>
    <row r="905" spans="1:3" x14ac:dyDescent="0.2">
      <c r="A905" s="87" t="s">
        <v>291</v>
      </c>
      <c r="B905" s="74" t="s">
        <v>178</v>
      </c>
      <c r="C905" s="81">
        <v>538.26</v>
      </c>
    </row>
    <row r="906" spans="1:3" x14ac:dyDescent="0.2">
      <c r="A906" s="87" t="s">
        <v>291</v>
      </c>
      <c r="B906" s="74" t="s">
        <v>178</v>
      </c>
      <c r="C906" s="81">
        <v>538.26</v>
      </c>
    </row>
    <row r="907" spans="1:3" x14ac:dyDescent="0.2">
      <c r="A907" s="87" t="s">
        <v>291</v>
      </c>
      <c r="B907" s="74" t="s">
        <v>178</v>
      </c>
      <c r="C907" s="81">
        <v>538.26</v>
      </c>
    </row>
    <row r="908" spans="1:3" x14ac:dyDescent="0.2">
      <c r="A908" s="87" t="s">
        <v>291</v>
      </c>
      <c r="B908" s="74" t="s">
        <v>178</v>
      </c>
      <c r="C908" s="81">
        <v>538.26</v>
      </c>
    </row>
    <row r="909" spans="1:3" x14ac:dyDescent="0.2">
      <c r="A909" s="87" t="s">
        <v>291</v>
      </c>
      <c r="B909" s="74" t="s">
        <v>178</v>
      </c>
      <c r="C909" s="81">
        <v>538.26</v>
      </c>
    </row>
    <row r="910" spans="1:3" x14ac:dyDescent="0.2">
      <c r="A910" s="87" t="s">
        <v>291</v>
      </c>
      <c r="B910" s="74" t="s">
        <v>178</v>
      </c>
      <c r="C910" s="81">
        <v>538.26</v>
      </c>
    </row>
    <row r="911" spans="1:3" x14ac:dyDescent="0.2">
      <c r="A911" s="87" t="s">
        <v>291</v>
      </c>
      <c r="B911" s="74" t="s">
        <v>178</v>
      </c>
      <c r="C911" s="81">
        <v>538.26</v>
      </c>
    </row>
    <row r="912" spans="1:3" x14ac:dyDescent="0.2">
      <c r="A912" s="87" t="s">
        <v>291</v>
      </c>
      <c r="B912" s="74" t="s">
        <v>178</v>
      </c>
      <c r="C912" s="81">
        <v>538.26</v>
      </c>
    </row>
    <row r="913" spans="1:3" x14ac:dyDescent="0.2">
      <c r="A913" s="87" t="s">
        <v>291</v>
      </c>
      <c r="B913" s="74" t="s">
        <v>178</v>
      </c>
      <c r="C913" s="81">
        <v>538.26</v>
      </c>
    </row>
    <row r="914" spans="1:3" x14ac:dyDescent="0.2">
      <c r="A914" s="87" t="s">
        <v>291</v>
      </c>
      <c r="B914" s="74" t="s">
        <v>178</v>
      </c>
      <c r="C914" s="81">
        <v>538.26</v>
      </c>
    </row>
    <row r="915" spans="1:3" x14ac:dyDescent="0.2">
      <c r="A915" s="87" t="s">
        <v>291</v>
      </c>
      <c r="B915" s="74" t="s">
        <v>178</v>
      </c>
      <c r="C915" s="81">
        <v>538.26</v>
      </c>
    </row>
    <row r="916" spans="1:3" x14ac:dyDescent="0.2">
      <c r="A916" s="87" t="s">
        <v>291</v>
      </c>
      <c r="B916" s="74" t="s">
        <v>178</v>
      </c>
      <c r="C916" s="81">
        <v>538.26</v>
      </c>
    </row>
    <row r="917" spans="1:3" x14ac:dyDescent="0.2">
      <c r="A917" s="87" t="s">
        <v>291</v>
      </c>
      <c r="B917" s="74" t="s">
        <v>200</v>
      </c>
      <c r="C917" s="81">
        <v>188.83</v>
      </c>
    </row>
    <row r="918" spans="1:3" x14ac:dyDescent="0.2">
      <c r="A918" s="87" t="s">
        <v>291</v>
      </c>
      <c r="B918" s="74" t="s">
        <v>200</v>
      </c>
      <c r="C918" s="81">
        <v>188.83</v>
      </c>
    </row>
    <row r="919" spans="1:3" x14ac:dyDescent="0.2">
      <c r="A919" s="87" t="s">
        <v>291</v>
      </c>
      <c r="B919" s="74" t="s">
        <v>200</v>
      </c>
      <c r="C919" s="81">
        <v>188.83</v>
      </c>
    </row>
    <row r="920" spans="1:3" x14ac:dyDescent="0.2">
      <c r="A920" s="87" t="s">
        <v>291</v>
      </c>
      <c r="B920" s="74" t="s">
        <v>200</v>
      </c>
      <c r="C920" s="81">
        <v>188.83</v>
      </c>
    </row>
    <row r="921" spans="1:3" x14ac:dyDescent="0.2">
      <c r="A921" s="87" t="s">
        <v>291</v>
      </c>
      <c r="B921" s="74" t="s">
        <v>200</v>
      </c>
      <c r="C921" s="81">
        <v>188.83</v>
      </c>
    </row>
    <row r="922" spans="1:3" x14ac:dyDescent="0.2">
      <c r="A922" s="87" t="s">
        <v>291</v>
      </c>
      <c r="B922" s="74" t="s">
        <v>200</v>
      </c>
      <c r="C922" s="81">
        <v>188.83</v>
      </c>
    </row>
    <row r="923" spans="1:3" x14ac:dyDescent="0.2">
      <c r="A923" s="87" t="s">
        <v>291</v>
      </c>
      <c r="B923" s="74" t="s">
        <v>200</v>
      </c>
      <c r="C923" s="81">
        <v>188.83</v>
      </c>
    </row>
    <row r="924" spans="1:3" x14ac:dyDescent="0.2">
      <c r="A924" s="87" t="s">
        <v>291</v>
      </c>
      <c r="B924" s="74" t="s">
        <v>200</v>
      </c>
      <c r="C924" s="81">
        <v>188.83</v>
      </c>
    </row>
    <row r="925" spans="1:3" x14ac:dyDescent="0.2">
      <c r="A925" s="87" t="s">
        <v>291</v>
      </c>
      <c r="B925" s="74" t="s">
        <v>200</v>
      </c>
      <c r="C925" s="81">
        <v>188.83</v>
      </c>
    </row>
    <row r="926" spans="1:3" x14ac:dyDescent="0.2">
      <c r="A926" s="87" t="s">
        <v>291</v>
      </c>
      <c r="B926" s="74" t="s">
        <v>200</v>
      </c>
      <c r="C926" s="81">
        <v>188.83</v>
      </c>
    </row>
    <row r="927" spans="1:3" x14ac:dyDescent="0.2">
      <c r="A927" s="87" t="s">
        <v>291</v>
      </c>
      <c r="B927" s="74" t="s">
        <v>200</v>
      </c>
      <c r="C927" s="81">
        <v>188.83</v>
      </c>
    </row>
    <row r="928" spans="1:3" x14ac:dyDescent="0.2">
      <c r="A928" s="87" t="s">
        <v>291</v>
      </c>
      <c r="B928" s="74" t="s">
        <v>200</v>
      </c>
      <c r="C928" s="81">
        <v>188.83</v>
      </c>
    </row>
    <row r="929" spans="1:3" x14ac:dyDescent="0.2">
      <c r="A929" s="87" t="s">
        <v>291</v>
      </c>
      <c r="B929" s="74" t="s">
        <v>200</v>
      </c>
      <c r="C929" s="81">
        <v>188.83</v>
      </c>
    </row>
    <row r="930" spans="1:3" x14ac:dyDescent="0.2">
      <c r="A930" s="87" t="s">
        <v>291</v>
      </c>
      <c r="B930" s="74" t="s">
        <v>200</v>
      </c>
      <c r="C930" s="81">
        <v>188.83</v>
      </c>
    </row>
    <row r="931" spans="1:3" x14ac:dyDescent="0.2">
      <c r="A931" s="87" t="s">
        <v>291</v>
      </c>
      <c r="B931" s="74" t="s">
        <v>200</v>
      </c>
      <c r="C931" s="81">
        <v>188.83</v>
      </c>
    </row>
    <row r="932" spans="1:3" x14ac:dyDescent="0.2">
      <c r="A932" s="87" t="s">
        <v>291</v>
      </c>
      <c r="B932" s="74" t="s">
        <v>200</v>
      </c>
      <c r="C932" s="81">
        <v>188.83</v>
      </c>
    </row>
    <row r="933" spans="1:3" x14ac:dyDescent="0.2">
      <c r="A933" s="87" t="s">
        <v>291</v>
      </c>
      <c r="B933" s="74" t="s">
        <v>200</v>
      </c>
      <c r="C933" s="81">
        <v>188.83</v>
      </c>
    </row>
    <row r="934" spans="1:3" x14ac:dyDescent="0.2">
      <c r="A934" s="87" t="s">
        <v>291</v>
      </c>
      <c r="B934" s="74" t="s">
        <v>200</v>
      </c>
      <c r="C934" s="81">
        <v>188.83</v>
      </c>
    </row>
    <row r="935" spans="1:3" x14ac:dyDescent="0.2">
      <c r="A935" s="87" t="s">
        <v>291</v>
      </c>
      <c r="B935" s="74" t="s">
        <v>200</v>
      </c>
      <c r="C935" s="81">
        <v>188.83</v>
      </c>
    </row>
    <row r="936" spans="1:3" x14ac:dyDescent="0.2">
      <c r="A936" s="87" t="s">
        <v>291</v>
      </c>
      <c r="B936" s="74" t="s">
        <v>200</v>
      </c>
      <c r="C936" s="81">
        <v>188.83</v>
      </c>
    </row>
    <row r="937" spans="1:3" x14ac:dyDescent="0.2">
      <c r="A937" s="87" t="s">
        <v>291</v>
      </c>
      <c r="B937" s="74" t="s">
        <v>200</v>
      </c>
      <c r="C937" s="81">
        <v>188.83</v>
      </c>
    </row>
    <row r="938" spans="1:3" x14ac:dyDescent="0.2">
      <c r="A938" s="87" t="s">
        <v>291</v>
      </c>
      <c r="B938" s="74" t="s">
        <v>200</v>
      </c>
      <c r="C938" s="81">
        <v>188.83</v>
      </c>
    </row>
    <row r="939" spans="1:3" x14ac:dyDescent="0.2">
      <c r="A939" s="87" t="s">
        <v>291</v>
      </c>
      <c r="B939" s="74" t="s">
        <v>200</v>
      </c>
      <c r="C939" s="81">
        <v>188.83</v>
      </c>
    </row>
    <row r="940" spans="1:3" x14ac:dyDescent="0.2">
      <c r="A940" s="87" t="s">
        <v>291</v>
      </c>
      <c r="B940" s="74" t="s">
        <v>200</v>
      </c>
      <c r="C940" s="81">
        <v>188.83</v>
      </c>
    </row>
    <row r="941" spans="1:3" x14ac:dyDescent="0.2">
      <c r="A941" s="87" t="s">
        <v>291</v>
      </c>
      <c r="B941" s="74" t="s">
        <v>200</v>
      </c>
      <c r="C941" s="81">
        <v>188.83</v>
      </c>
    </row>
    <row r="942" spans="1:3" x14ac:dyDescent="0.2">
      <c r="A942" s="87" t="s">
        <v>291</v>
      </c>
      <c r="B942" s="74" t="s">
        <v>200</v>
      </c>
      <c r="C942" s="81">
        <v>188.83</v>
      </c>
    </row>
    <row r="943" spans="1:3" x14ac:dyDescent="0.2">
      <c r="A943" s="87" t="s">
        <v>291</v>
      </c>
      <c r="B943" s="74" t="s">
        <v>200</v>
      </c>
      <c r="C943" s="81">
        <v>188.83</v>
      </c>
    </row>
    <row r="944" spans="1:3" x14ac:dyDescent="0.2">
      <c r="A944" s="87" t="s">
        <v>291</v>
      </c>
      <c r="B944" s="74" t="s">
        <v>200</v>
      </c>
      <c r="C944" s="81">
        <v>188.83</v>
      </c>
    </row>
    <row r="945" spans="1:3" x14ac:dyDescent="0.2">
      <c r="A945" s="87" t="s">
        <v>291</v>
      </c>
      <c r="B945" s="74" t="s">
        <v>200</v>
      </c>
      <c r="C945" s="81">
        <v>188.83</v>
      </c>
    </row>
    <row r="946" spans="1:3" x14ac:dyDescent="0.2">
      <c r="A946" s="87" t="s">
        <v>291</v>
      </c>
      <c r="B946" s="74" t="s">
        <v>200</v>
      </c>
      <c r="C946" s="81">
        <v>188.83</v>
      </c>
    </row>
    <row r="947" spans="1:3" x14ac:dyDescent="0.2">
      <c r="A947" s="87" t="s">
        <v>291</v>
      </c>
      <c r="B947" s="74" t="s">
        <v>200</v>
      </c>
      <c r="C947" s="81">
        <v>188.83</v>
      </c>
    </row>
    <row r="948" spans="1:3" x14ac:dyDescent="0.2">
      <c r="A948" s="87" t="s">
        <v>291</v>
      </c>
      <c r="B948" s="74" t="s">
        <v>200</v>
      </c>
      <c r="C948" s="81">
        <v>188.83</v>
      </c>
    </row>
    <row r="949" spans="1:3" x14ac:dyDescent="0.2">
      <c r="A949" s="87" t="s">
        <v>291</v>
      </c>
      <c r="B949" s="74" t="s">
        <v>200</v>
      </c>
      <c r="C949" s="81">
        <v>188.83</v>
      </c>
    </row>
    <row r="950" spans="1:3" x14ac:dyDescent="0.2">
      <c r="A950" s="87" t="s">
        <v>291</v>
      </c>
      <c r="B950" s="74" t="s">
        <v>200</v>
      </c>
      <c r="C950" s="81">
        <v>188.83</v>
      </c>
    </row>
    <row r="951" spans="1:3" x14ac:dyDescent="0.2">
      <c r="A951" s="87" t="s">
        <v>291</v>
      </c>
      <c r="B951" s="74" t="s">
        <v>200</v>
      </c>
      <c r="C951" s="81">
        <v>188.83</v>
      </c>
    </row>
    <row r="952" spans="1:3" x14ac:dyDescent="0.2">
      <c r="A952" s="87" t="s">
        <v>291</v>
      </c>
      <c r="B952" s="74" t="s">
        <v>200</v>
      </c>
      <c r="C952" s="81">
        <v>188.83</v>
      </c>
    </row>
    <row r="953" spans="1:3" x14ac:dyDescent="0.2">
      <c r="A953" s="87" t="s">
        <v>291</v>
      </c>
      <c r="B953" s="74" t="s">
        <v>200</v>
      </c>
      <c r="C953" s="81">
        <v>188.83</v>
      </c>
    </row>
    <row r="954" spans="1:3" x14ac:dyDescent="0.2">
      <c r="A954" s="87" t="s">
        <v>291</v>
      </c>
      <c r="B954" s="74" t="s">
        <v>200</v>
      </c>
      <c r="C954" s="81">
        <v>188.83</v>
      </c>
    </row>
    <row r="955" spans="1:3" x14ac:dyDescent="0.2">
      <c r="A955" s="87" t="s">
        <v>291</v>
      </c>
      <c r="B955" s="74" t="s">
        <v>200</v>
      </c>
      <c r="C955" s="81">
        <v>188.83</v>
      </c>
    </row>
    <row r="956" spans="1:3" x14ac:dyDescent="0.2">
      <c r="A956" s="87" t="s">
        <v>291</v>
      </c>
      <c r="B956" s="74" t="s">
        <v>200</v>
      </c>
      <c r="C956" s="81">
        <v>188.83</v>
      </c>
    </row>
    <row r="957" spans="1:3" x14ac:dyDescent="0.2">
      <c r="A957" s="87" t="s">
        <v>291</v>
      </c>
      <c r="B957" s="74" t="s">
        <v>200</v>
      </c>
      <c r="C957" s="81">
        <v>188.83</v>
      </c>
    </row>
    <row r="958" spans="1:3" x14ac:dyDescent="0.2">
      <c r="A958" s="87" t="s">
        <v>291</v>
      </c>
      <c r="B958" s="74" t="s">
        <v>200</v>
      </c>
      <c r="C958" s="81">
        <v>188.83</v>
      </c>
    </row>
    <row r="959" spans="1:3" x14ac:dyDescent="0.2">
      <c r="A959" s="87" t="s">
        <v>291</v>
      </c>
      <c r="B959" s="74" t="s">
        <v>200</v>
      </c>
      <c r="C959" s="81">
        <v>188.83</v>
      </c>
    </row>
    <row r="960" spans="1:3" x14ac:dyDescent="0.2">
      <c r="A960" s="87" t="s">
        <v>291</v>
      </c>
      <c r="B960" s="74" t="s">
        <v>200</v>
      </c>
      <c r="C960" s="81">
        <v>188.83</v>
      </c>
    </row>
    <row r="961" spans="1:3" x14ac:dyDescent="0.2">
      <c r="A961" s="87" t="s">
        <v>291</v>
      </c>
      <c r="B961" s="74" t="s">
        <v>200</v>
      </c>
      <c r="C961" s="81">
        <v>188.83</v>
      </c>
    </row>
    <row r="962" spans="1:3" x14ac:dyDescent="0.2">
      <c r="A962" s="87" t="s">
        <v>291</v>
      </c>
      <c r="B962" s="74" t="s">
        <v>200</v>
      </c>
      <c r="C962" s="81">
        <v>188.83</v>
      </c>
    </row>
    <row r="963" spans="1:3" x14ac:dyDescent="0.2">
      <c r="A963" s="87" t="s">
        <v>291</v>
      </c>
      <c r="B963" s="74" t="s">
        <v>200</v>
      </c>
      <c r="C963" s="81">
        <v>188.83</v>
      </c>
    </row>
    <row r="964" spans="1:3" x14ac:dyDescent="0.2">
      <c r="A964" s="87" t="s">
        <v>291</v>
      </c>
      <c r="B964" s="74" t="s">
        <v>200</v>
      </c>
      <c r="C964" s="81">
        <v>188.83</v>
      </c>
    </row>
    <row r="965" spans="1:3" x14ac:dyDescent="0.2">
      <c r="A965" s="87" t="s">
        <v>291</v>
      </c>
      <c r="B965" s="74" t="s">
        <v>200</v>
      </c>
      <c r="C965" s="81">
        <v>188.83</v>
      </c>
    </row>
    <row r="966" spans="1:3" x14ac:dyDescent="0.2">
      <c r="A966" s="87" t="s">
        <v>291</v>
      </c>
      <c r="B966" s="74" t="s">
        <v>200</v>
      </c>
      <c r="C966" s="81">
        <v>188.83</v>
      </c>
    </row>
    <row r="967" spans="1:3" x14ac:dyDescent="0.2">
      <c r="A967" s="87" t="s">
        <v>291</v>
      </c>
      <c r="B967" s="74" t="s">
        <v>200</v>
      </c>
      <c r="C967" s="81">
        <v>188.83</v>
      </c>
    </row>
    <row r="968" spans="1:3" x14ac:dyDescent="0.2">
      <c r="A968" s="87" t="s">
        <v>291</v>
      </c>
      <c r="B968" s="74" t="s">
        <v>200</v>
      </c>
      <c r="C968" s="81">
        <v>188.83</v>
      </c>
    </row>
    <row r="969" spans="1:3" x14ac:dyDescent="0.2">
      <c r="A969" s="87" t="s">
        <v>291</v>
      </c>
      <c r="B969" s="74" t="s">
        <v>200</v>
      </c>
      <c r="C969" s="81">
        <v>188.83</v>
      </c>
    </row>
    <row r="970" spans="1:3" x14ac:dyDescent="0.2">
      <c r="A970" s="87" t="s">
        <v>291</v>
      </c>
      <c r="B970" s="74" t="s">
        <v>200</v>
      </c>
      <c r="C970" s="81">
        <v>188.83</v>
      </c>
    </row>
    <row r="971" spans="1:3" x14ac:dyDescent="0.2">
      <c r="A971" s="87" t="s">
        <v>291</v>
      </c>
      <c r="B971" s="74" t="s">
        <v>200</v>
      </c>
      <c r="C971" s="81">
        <v>188.83</v>
      </c>
    </row>
    <row r="972" spans="1:3" x14ac:dyDescent="0.2">
      <c r="A972" s="87" t="s">
        <v>291</v>
      </c>
      <c r="B972" s="74" t="s">
        <v>200</v>
      </c>
      <c r="C972" s="81">
        <v>188.83</v>
      </c>
    </row>
    <row r="973" spans="1:3" x14ac:dyDescent="0.2">
      <c r="A973" s="87" t="s">
        <v>291</v>
      </c>
      <c r="B973" s="74" t="s">
        <v>200</v>
      </c>
      <c r="C973" s="81">
        <v>188.83</v>
      </c>
    </row>
    <row r="974" spans="1:3" x14ac:dyDescent="0.2">
      <c r="A974" s="87" t="s">
        <v>291</v>
      </c>
      <c r="B974" s="74" t="s">
        <v>200</v>
      </c>
      <c r="C974" s="81">
        <v>188.83</v>
      </c>
    </row>
    <row r="975" spans="1:3" x14ac:dyDescent="0.2">
      <c r="A975" s="87" t="s">
        <v>291</v>
      </c>
      <c r="B975" s="74" t="s">
        <v>200</v>
      </c>
      <c r="C975" s="81">
        <v>188.83</v>
      </c>
    </row>
    <row r="976" spans="1:3" x14ac:dyDescent="0.2">
      <c r="A976" s="87" t="s">
        <v>291</v>
      </c>
      <c r="B976" s="74" t="s">
        <v>200</v>
      </c>
      <c r="C976" s="81">
        <v>188.83</v>
      </c>
    </row>
    <row r="977" spans="1:3" x14ac:dyDescent="0.2">
      <c r="A977" s="87" t="s">
        <v>291</v>
      </c>
      <c r="B977" s="74" t="s">
        <v>200</v>
      </c>
      <c r="C977" s="81">
        <v>188.83</v>
      </c>
    </row>
    <row r="978" spans="1:3" x14ac:dyDescent="0.2">
      <c r="A978" s="87" t="s">
        <v>291</v>
      </c>
      <c r="B978" s="74" t="s">
        <v>200</v>
      </c>
      <c r="C978" s="81">
        <v>188.83</v>
      </c>
    </row>
    <row r="979" spans="1:3" x14ac:dyDescent="0.2">
      <c r="A979" s="87" t="s">
        <v>291</v>
      </c>
      <c r="B979" s="74" t="s">
        <v>200</v>
      </c>
      <c r="C979" s="81">
        <v>188.83</v>
      </c>
    </row>
    <row r="980" spans="1:3" x14ac:dyDescent="0.2">
      <c r="A980" s="87" t="s">
        <v>291</v>
      </c>
      <c r="B980" s="74" t="s">
        <v>200</v>
      </c>
      <c r="C980" s="81">
        <v>188.83</v>
      </c>
    </row>
    <row r="981" spans="1:3" x14ac:dyDescent="0.2">
      <c r="A981" s="87" t="s">
        <v>291</v>
      </c>
      <c r="B981" s="74" t="s">
        <v>200</v>
      </c>
      <c r="C981" s="81">
        <v>188.83</v>
      </c>
    </row>
    <row r="982" spans="1:3" x14ac:dyDescent="0.2">
      <c r="A982" s="87" t="s">
        <v>291</v>
      </c>
      <c r="B982" s="74" t="s">
        <v>200</v>
      </c>
      <c r="C982" s="81">
        <v>188.83</v>
      </c>
    </row>
    <row r="983" spans="1:3" x14ac:dyDescent="0.2">
      <c r="A983" s="87" t="s">
        <v>291</v>
      </c>
      <c r="B983" s="74" t="s">
        <v>200</v>
      </c>
      <c r="C983" s="81">
        <v>188.83</v>
      </c>
    </row>
    <row r="984" spans="1:3" x14ac:dyDescent="0.2">
      <c r="A984" s="87" t="s">
        <v>291</v>
      </c>
      <c r="B984" s="74" t="s">
        <v>200</v>
      </c>
      <c r="C984" s="81">
        <v>188.83</v>
      </c>
    </row>
    <row r="985" spans="1:3" x14ac:dyDescent="0.2">
      <c r="A985" s="87" t="s">
        <v>291</v>
      </c>
      <c r="B985" s="74" t="s">
        <v>200</v>
      </c>
      <c r="C985" s="81">
        <v>188.83</v>
      </c>
    </row>
    <row r="986" spans="1:3" x14ac:dyDescent="0.2">
      <c r="A986" s="87" t="s">
        <v>291</v>
      </c>
      <c r="B986" s="74" t="s">
        <v>200</v>
      </c>
      <c r="C986" s="81">
        <v>188.83</v>
      </c>
    </row>
    <row r="987" spans="1:3" x14ac:dyDescent="0.2">
      <c r="A987" s="87" t="s">
        <v>291</v>
      </c>
      <c r="B987" s="74" t="s">
        <v>200</v>
      </c>
      <c r="C987" s="81">
        <v>188.83</v>
      </c>
    </row>
    <row r="988" spans="1:3" x14ac:dyDescent="0.2">
      <c r="A988" s="87" t="s">
        <v>291</v>
      </c>
      <c r="B988" s="74" t="s">
        <v>200</v>
      </c>
      <c r="C988" s="81">
        <v>188.83</v>
      </c>
    </row>
    <row r="989" spans="1:3" x14ac:dyDescent="0.2">
      <c r="A989" s="87" t="s">
        <v>291</v>
      </c>
      <c r="B989" s="74" t="s">
        <v>200</v>
      </c>
      <c r="C989" s="81">
        <v>188.83</v>
      </c>
    </row>
    <row r="990" spans="1:3" x14ac:dyDescent="0.2">
      <c r="A990" s="87" t="s">
        <v>291</v>
      </c>
      <c r="B990" s="74" t="s">
        <v>200</v>
      </c>
      <c r="C990" s="81">
        <v>188.83</v>
      </c>
    </row>
    <row r="991" spans="1:3" x14ac:dyDescent="0.2">
      <c r="A991" s="87" t="s">
        <v>291</v>
      </c>
      <c r="B991" s="74" t="s">
        <v>200</v>
      </c>
      <c r="C991" s="81">
        <v>188.83</v>
      </c>
    </row>
    <row r="992" spans="1:3" x14ac:dyDescent="0.2">
      <c r="A992" s="87" t="s">
        <v>291</v>
      </c>
      <c r="B992" s="74" t="s">
        <v>200</v>
      </c>
      <c r="C992" s="81">
        <v>188.83</v>
      </c>
    </row>
    <row r="993" spans="1:3" x14ac:dyDescent="0.2">
      <c r="A993" s="87" t="s">
        <v>291</v>
      </c>
      <c r="B993" s="74" t="s">
        <v>200</v>
      </c>
      <c r="C993" s="81">
        <v>188.83</v>
      </c>
    </row>
    <row r="994" spans="1:3" x14ac:dyDescent="0.2">
      <c r="A994" s="87" t="s">
        <v>291</v>
      </c>
      <c r="B994" s="74" t="s">
        <v>200</v>
      </c>
      <c r="C994" s="81">
        <v>188.83</v>
      </c>
    </row>
    <row r="995" spans="1:3" x14ac:dyDescent="0.2">
      <c r="A995" s="87" t="s">
        <v>291</v>
      </c>
      <c r="B995" s="74" t="s">
        <v>200</v>
      </c>
      <c r="C995" s="81">
        <v>188.83</v>
      </c>
    </row>
    <row r="996" spans="1:3" x14ac:dyDescent="0.2">
      <c r="A996" s="87" t="s">
        <v>291</v>
      </c>
      <c r="B996" s="74" t="s">
        <v>200</v>
      </c>
      <c r="C996" s="81">
        <v>188.83</v>
      </c>
    </row>
    <row r="997" spans="1:3" x14ac:dyDescent="0.2">
      <c r="A997" s="87" t="s">
        <v>291</v>
      </c>
      <c r="B997" s="74" t="s">
        <v>200</v>
      </c>
      <c r="C997" s="81">
        <v>188.83</v>
      </c>
    </row>
    <row r="998" spans="1:3" x14ac:dyDescent="0.2">
      <c r="A998" s="87" t="s">
        <v>291</v>
      </c>
      <c r="B998" s="74" t="s">
        <v>200</v>
      </c>
      <c r="C998" s="81">
        <v>188.83</v>
      </c>
    </row>
    <row r="999" spans="1:3" x14ac:dyDescent="0.2">
      <c r="A999" s="87" t="s">
        <v>291</v>
      </c>
      <c r="B999" s="74" t="s">
        <v>200</v>
      </c>
      <c r="C999" s="81">
        <v>188.83</v>
      </c>
    </row>
    <row r="1000" spans="1:3" x14ac:dyDescent="0.2">
      <c r="A1000" s="87" t="s">
        <v>291</v>
      </c>
      <c r="B1000" s="74" t="s">
        <v>200</v>
      </c>
      <c r="C1000" s="81">
        <v>188.83</v>
      </c>
    </row>
    <row r="1001" spans="1:3" x14ac:dyDescent="0.2">
      <c r="A1001" s="87" t="s">
        <v>291</v>
      </c>
      <c r="B1001" s="74" t="s">
        <v>200</v>
      </c>
      <c r="C1001" s="81">
        <v>188.83</v>
      </c>
    </row>
    <row r="1002" spans="1:3" x14ac:dyDescent="0.2">
      <c r="A1002" s="87" t="s">
        <v>291</v>
      </c>
      <c r="B1002" s="74" t="s">
        <v>200</v>
      </c>
      <c r="C1002" s="81">
        <v>188.83</v>
      </c>
    </row>
    <row r="1003" spans="1:3" x14ac:dyDescent="0.2">
      <c r="A1003" s="87" t="s">
        <v>291</v>
      </c>
      <c r="B1003" s="74" t="s">
        <v>200</v>
      </c>
      <c r="C1003" s="81">
        <v>188.83</v>
      </c>
    </row>
    <row r="1004" spans="1:3" x14ac:dyDescent="0.2">
      <c r="A1004" s="87" t="s">
        <v>291</v>
      </c>
      <c r="B1004" s="74" t="s">
        <v>200</v>
      </c>
      <c r="C1004" s="81">
        <v>188.83</v>
      </c>
    </row>
    <row r="1005" spans="1:3" x14ac:dyDescent="0.2">
      <c r="A1005" s="87" t="s">
        <v>291</v>
      </c>
      <c r="B1005" s="74" t="s">
        <v>200</v>
      </c>
      <c r="C1005" s="81">
        <v>188.83</v>
      </c>
    </row>
    <row r="1006" spans="1:3" x14ac:dyDescent="0.2">
      <c r="A1006" s="87" t="s">
        <v>291</v>
      </c>
      <c r="B1006" s="74" t="s">
        <v>200</v>
      </c>
      <c r="C1006" s="81">
        <v>188.83</v>
      </c>
    </row>
    <row r="1007" spans="1:3" x14ac:dyDescent="0.2">
      <c r="A1007" s="87" t="s">
        <v>291</v>
      </c>
      <c r="B1007" s="74" t="s">
        <v>200</v>
      </c>
      <c r="C1007" s="81">
        <v>188.83</v>
      </c>
    </row>
    <row r="1008" spans="1:3" x14ac:dyDescent="0.2">
      <c r="A1008" s="87" t="s">
        <v>291</v>
      </c>
      <c r="B1008" s="74" t="s">
        <v>200</v>
      </c>
      <c r="C1008" s="81">
        <v>188.83</v>
      </c>
    </row>
    <row r="1009" spans="1:3" x14ac:dyDescent="0.2">
      <c r="A1009" s="87" t="s">
        <v>291</v>
      </c>
      <c r="B1009" s="74" t="s">
        <v>200</v>
      </c>
      <c r="C1009" s="81">
        <v>188.83</v>
      </c>
    </row>
    <row r="1010" spans="1:3" x14ac:dyDescent="0.2">
      <c r="A1010" s="87" t="s">
        <v>291</v>
      </c>
      <c r="B1010" s="74" t="s">
        <v>200</v>
      </c>
      <c r="C1010" s="81">
        <v>188.83</v>
      </c>
    </row>
    <row r="1011" spans="1:3" x14ac:dyDescent="0.2">
      <c r="A1011" s="87" t="s">
        <v>291</v>
      </c>
      <c r="B1011" s="74" t="s">
        <v>200</v>
      </c>
      <c r="C1011" s="81">
        <v>188.83</v>
      </c>
    </row>
    <row r="1012" spans="1:3" x14ac:dyDescent="0.2">
      <c r="A1012" s="87" t="s">
        <v>291</v>
      </c>
      <c r="B1012" s="74" t="s">
        <v>200</v>
      </c>
      <c r="C1012" s="81">
        <v>188.83</v>
      </c>
    </row>
    <row r="1013" spans="1:3" x14ac:dyDescent="0.2">
      <c r="A1013" s="87" t="s">
        <v>291</v>
      </c>
      <c r="B1013" s="74" t="s">
        <v>200</v>
      </c>
      <c r="C1013" s="81">
        <v>188.83</v>
      </c>
    </row>
    <row r="1014" spans="1:3" x14ac:dyDescent="0.2">
      <c r="A1014" s="87" t="s">
        <v>291</v>
      </c>
      <c r="B1014" s="74" t="s">
        <v>200</v>
      </c>
      <c r="C1014" s="81">
        <v>188.83</v>
      </c>
    </row>
    <row r="1015" spans="1:3" x14ac:dyDescent="0.2">
      <c r="A1015" s="87" t="s">
        <v>291</v>
      </c>
      <c r="B1015" s="74" t="s">
        <v>200</v>
      </c>
      <c r="C1015" s="81">
        <v>188.83</v>
      </c>
    </row>
    <row r="1016" spans="1:3" x14ac:dyDescent="0.2">
      <c r="A1016" s="87" t="s">
        <v>291</v>
      </c>
      <c r="B1016" s="74" t="s">
        <v>200</v>
      </c>
      <c r="C1016" s="81">
        <v>188.83</v>
      </c>
    </row>
    <row r="1017" spans="1:3" x14ac:dyDescent="0.2">
      <c r="A1017" s="87" t="s">
        <v>291</v>
      </c>
      <c r="B1017" s="74" t="s">
        <v>200</v>
      </c>
      <c r="C1017" s="81">
        <v>188.83</v>
      </c>
    </row>
    <row r="1018" spans="1:3" x14ac:dyDescent="0.2">
      <c r="A1018" s="87" t="s">
        <v>291</v>
      </c>
      <c r="B1018" s="74" t="s">
        <v>200</v>
      </c>
      <c r="C1018" s="81">
        <v>188.83</v>
      </c>
    </row>
    <row r="1019" spans="1:3" x14ac:dyDescent="0.2">
      <c r="A1019" s="87" t="s">
        <v>291</v>
      </c>
      <c r="B1019" s="74" t="s">
        <v>200</v>
      </c>
      <c r="C1019" s="81">
        <v>188.83</v>
      </c>
    </row>
    <row r="1020" spans="1:3" x14ac:dyDescent="0.2">
      <c r="A1020" s="87" t="s">
        <v>291</v>
      </c>
      <c r="B1020" s="74" t="s">
        <v>200</v>
      </c>
      <c r="C1020" s="81">
        <v>188.83</v>
      </c>
    </row>
    <row r="1021" spans="1:3" x14ac:dyDescent="0.2">
      <c r="A1021" s="87" t="s">
        <v>291</v>
      </c>
      <c r="B1021" s="74" t="s">
        <v>200</v>
      </c>
      <c r="C1021" s="81">
        <v>188.83</v>
      </c>
    </row>
    <row r="1022" spans="1:3" x14ac:dyDescent="0.2">
      <c r="A1022" s="87" t="s">
        <v>291</v>
      </c>
      <c r="B1022" s="74" t="s">
        <v>200</v>
      </c>
      <c r="C1022" s="81">
        <v>188.83</v>
      </c>
    </row>
    <row r="1023" spans="1:3" x14ac:dyDescent="0.2">
      <c r="A1023" s="87" t="s">
        <v>291</v>
      </c>
      <c r="B1023" s="74" t="s">
        <v>200</v>
      </c>
      <c r="C1023" s="81">
        <v>188.83</v>
      </c>
    </row>
    <row r="1024" spans="1:3" x14ac:dyDescent="0.2">
      <c r="A1024" s="87" t="s">
        <v>291</v>
      </c>
      <c r="B1024" s="74" t="s">
        <v>200</v>
      </c>
      <c r="C1024" s="81">
        <v>188.83</v>
      </c>
    </row>
    <row r="1025" spans="1:3" x14ac:dyDescent="0.2">
      <c r="A1025" s="87" t="s">
        <v>291</v>
      </c>
      <c r="B1025" s="74" t="s">
        <v>200</v>
      </c>
      <c r="C1025" s="81">
        <v>188.83</v>
      </c>
    </row>
    <row r="1026" spans="1:3" x14ac:dyDescent="0.2">
      <c r="A1026" s="87" t="s">
        <v>291</v>
      </c>
      <c r="B1026" s="74" t="s">
        <v>200</v>
      </c>
      <c r="C1026" s="81">
        <v>188.83</v>
      </c>
    </row>
    <row r="1027" spans="1:3" x14ac:dyDescent="0.2">
      <c r="A1027" s="87" t="s">
        <v>291</v>
      </c>
      <c r="B1027" s="74" t="s">
        <v>200</v>
      </c>
      <c r="C1027" s="81">
        <v>188.83</v>
      </c>
    </row>
    <row r="1028" spans="1:3" x14ac:dyDescent="0.2">
      <c r="A1028" s="87" t="s">
        <v>291</v>
      </c>
      <c r="B1028" s="74" t="s">
        <v>200</v>
      </c>
      <c r="C1028" s="81">
        <v>188.83</v>
      </c>
    </row>
    <row r="1029" spans="1:3" x14ac:dyDescent="0.2">
      <c r="A1029" s="87" t="s">
        <v>291</v>
      </c>
      <c r="B1029" s="74" t="s">
        <v>200</v>
      </c>
      <c r="C1029" s="81">
        <v>188.83</v>
      </c>
    </row>
    <row r="1030" spans="1:3" x14ac:dyDescent="0.2">
      <c r="A1030" s="87" t="s">
        <v>291</v>
      </c>
      <c r="B1030" s="74" t="s">
        <v>200</v>
      </c>
      <c r="C1030" s="81">
        <v>188.83</v>
      </c>
    </row>
    <row r="1031" spans="1:3" x14ac:dyDescent="0.2">
      <c r="A1031" s="87" t="s">
        <v>291</v>
      </c>
      <c r="B1031" s="74" t="s">
        <v>200</v>
      </c>
      <c r="C1031" s="81">
        <v>188.83</v>
      </c>
    </row>
    <row r="1032" spans="1:3" x14ac:dyDescent="0.2">
      <c r="A1032" s="87" t="s">
        <v>291</v>
      </c>
      <c r="B1032" s="74" t="s">
        <v>200</v>
      </c>
      <c r="C1032" s="81">
        <v>188.83</v>
      </c>
    </row>
    <row r="1033" spans="1:3" x14ac:dyDescent="0.2">
      <c r="A1033" s="87" t="s">
        <v>291</v>
      </c>
      <c r="B1033" s="74" t="s">
        <v>200</v>
      </c>
      <c r="C1033" s="81">
        <v>188.83</v>
      </c>
    </row>
    <row r="1034" spans="1:3" x14ac:dyDescent="0.2">
      <c r="A1034" s="87" t="s">
        <v>291</v>
      </c>
      <c r="B1034" s="74" t="s">
        <v>200</v>
      </c>
      <c r="C1034" s="81">
        <v>188.83</v>
      </c>
    </row>
    <row r="1035" spans="1:3" x14ac:dyDescent="0.2">
      <c r="A1035" s="87" t="s">
        <v>291</v>
      </c>
      <c r="B1035" s="74" t="s">
        <v>200</v>
      </c>
      <c r="C1035" s="81">
        <v>188.83</v>
      </c>
    </row>
    <row r="1036" spans="1:3" x14ac:dyDescent="0.2">
      <c r="A1036" s="87" t="s">
        <v>291</v>
      </c>
      <c r="B1036" s="74" t="s">
        <v>200</v>
      </c>
      <c r="C1036" s="81">
        <v>188.83</v>
      </c>
    </row>
    <row r="1037" spans="1:3" x14ac:dyDescent="0.2">
      <c r="A1037" s="87" t="s">
        <v>291</v>
      </c>
      <c r="B1037" s="74" t="s">
        <v>200</v>
      </c>
      <c r="C1037" s="81">
        <v>188.83</v>
      </c>
    </row>
    <row r="1038" spans="1:3" x14ac:dyDescent="0.2">
      <c r="A1038" s="87" t="s">
        <v>291</v>
      </c>
      <c r="B1038" s="74" t="s">
        <v>200</v>
      </c>
      <c r="C1038" s="81">
        <v>188.83</v>
      </c>
    </row>
    <row r="1039" spans="1:3" x14ac:dyDescent="0.2">
      <c r="A1039" s="87" t="s">
        <v>291</v>
      </c>
      <c r="B1039" s="74" t="s">
        <v>200</v>
      </c>
      <c r="C1039" s="81">
        <v>188.83</v>
      </c>
    </row>
    <row r="1040" spans="1:3" x14ac:dyDescent="0.2">
      <c r="A1040" s="87" t="s">
        <v>291</v>
      </c>
      <c r="B1040" s="74" t="s">
        <v>200</v>
      </c>
      <c r="C1040" s="81">
        <v>188.83</v>
      </c>
    </row>
    <row r="1041" spans="1:3" x14ac:dyDescent="0.2">
      <c r="A1041" s="87" t="s">
        <v>291</v>
      </c>
      <c r="B1041" s="74" t="s">
        <v>200</v>
      </c>
      <c r="C1041" s="81">
        <v>188.83</v>
      </c>
    </row>
    <row r="1042" spans="1:3" x14ac:dyDescent="0.2">
      <c r="A1042" s="87" t="s">
        <v>291</v>
      </c>
      <c r="B1042" s="74" t="s">
        <v>200</v>
      </c>
      <c r="C1042" s="81">
        <v>188.83</v>
      </c>
    </row>
    <row r="1043" spans="1:3" x14ac:dyDescent="0.2">
      <c r="A1043" s="87" t="s">
        <v>291</v>
      </c>
      <c r="B1043" s="74" t="s">
        <v>200</v>
      </c>
      <c r="C1043" s="81">
        <v>188.83</v>
      </c>
    </row>
    <row r="1044" spans="1:3" x14ac:dyDescent="0.2">
      <c r="A1044" s="87" t="s">
        <v>291</v>
      </c>
      <c r="B1044" s="74" t="s">
        <v>200</v>
      </c>
      <c r="C1044" s="81">
        <v>188.83</v>
      </c>
    </row>
    <row r="1045" spans="1:3" x14ac:dyDescent="0.2">
      <c r="A1045" s="87" t="s">
        <v>291</v>
      </c>
      <c r="B1045" s="74" t="s">
        <v>200</v>
      </c>
      <c r="C1045" s="81">
        <v>188.83</v>
      </c>
    </row>
    <row r="1046" spans="1:3" x14ac:dyDescent="0.2">
      <c r="A1046" s="87" t="s">
        <v>291</v>
      </c>
      <c r="B1046" s="74" t="s">
        <v>200</v>
      </c>
      <c r="C1046" s="81">
        <v>188.83</v>
      </c>
    </row>
    <row r="1047" spans="1:3" x14ac:dyDescent="0.2">
      <c r="A1047" s="87" t="s">
        <v>291</v>
      </c>
      <c r="B1047" s="74" t="s">
        <v>200</v>
      </c>
      <c r="C1047" s="81">
        <v>188.83</v>
      </c>
    </row>
    <row r="1048" spans="1:3" x14ac:dyDescent="0.2">
      <c r="A1048" s="87" t="s">
        <v>291</v>
      </c>
      <c r="B1048" s="74" t="s">
        <v>200</v>
      </c>
      <c r="C1048" s="81">
        <v>188.83</v>
      </c>
    </row>
    <row r="1049" spans="1:3" x14ac:dyDescent="0.2">
      <c r="A1049" s="87" t="s">
        <v>291</v>
      </c>
      <c r="B1049" s="74" t="s">
        <v>200</v>
      </c>
      <c r="C1049" s="81">
        <v>188.83</v>
      </c>
    </row>
    <row r="1050" spans="1:3" x14ac:dyDescent="0.2">
      <c r="A1050" s="87" t="s">
        <v>291</v>
      </c>
      <c r="B1050" s="74" t="s">
        <v>200</v>
      </c>
      <c r="C1050" s="81">
        <v>188.83</v>
      </c>
    </row>
    <row r="1051" spans="1:3" x14ac:dyDescent="0.2">
      <c r="A1051" s="87" t="s">
        <v>291</v>
      </c>
      <c r="B1051" s="74" t="s">
        <v>200</v>
      </c>
      <c r="C1051" s="81">
        <v>188.83</v>
      </c>
    </row>
    <row r="1052" spans="1:3" x14ac:dyDescent="0.2">
      <c r="A1052" s="87" t="s">
        <v>291</v>
      </c>
      <c r="B1052" s="74" t="s">
        <v>200</v>
      </c>
      <c r="C1052" s="81">
        <v>188.83</v>
      </c>
    </row>
    <row r="1053" spans="1:3" x14ac:dyDescent="0.2">
      <c r="A1053" s="87" t="s">
        <v>291</v>
      </c>
      <c r="B1053" s="74" t="s">
        <v>200</v>
      </c>
      <c r="C1053" s="81">
        <v>188.83</v>
      </c>
    </row>
    <row r="1054" spans="1:3" x14ac:dyDescent="0.2">
      <c r="A1054" s="87" t="s">
        <v>291</v>
      </c>
      <c r="B1054" s="74" t="s">
        <v>200</v>
      </c>
      <c r="C1054" s="81">
        <v>188.83</v>
      </c>
    </row>
    <row r="1055" spans="1:3" x14ac:dyDescent="0.2">
      <c r="A1055" s="87" t="s">
        <v>291</v>
      </c>
      <c r="B1055" s="74" t="s">
        <v>200</v>
      </c>
      <c r="C1055" s="81">
        <v>188.83</v>
      </c>
    </row>
    <row r="1056" spans="1:3" x14ac:dyDescent="0.2">
      <c r="A1056" s="87" t="s">
        <v>291</v>
      </c>
      <c r="B1056" s="74" t="s">
        <v>200</v>
      </c>
      <c r="C1056" s="81">
        <v>188.83</v>
      </c>
    </row>
    <row r="1057" spans="1:3" x14ac:dyDescent="0.2">
      <c r="A1057" s="87" t="s">
        <v>291</v>
      </c>
      <c r="B1057" s="74" t="s">
        <v>200</v>
      </c>
      <c r="C1057" s="81">
        <v>188.83</v>
      </c>
    </row>
    <row r="1058" spans="1:3" x14ac:dyDescent="0.2">
      <c r="A1058" s="87" t="s">
        <v>291</v>
      </c>
      <c r="B1058" s="74" t="s">
        <v>201</v>
      </c>
      <c r="C1058" s="81">
        <v>198.26</v>
      </c>
    </row>
    <row r="1059" spans="1:3" x14ac:dyDescent="0.2">
      <c r="A1059" s="87" t="s">
        <v>291</v>
      </c>
      <c r="B1059" s="74" t="s">
        <v>201</v>
      </c>
      <c r="C1059" s="81">
        <v>198.26</v>
      </c>
    </row>
    <row r="1060" spans="1:3" x14ac:dyDescent="0.2">
      <c r="A1060" s="87" t="s">
        <v>291</v>
      </c>
      <c r="B1060" s="74" t="s">
        <v>201</v>
      </c>
      <c r="C1060" s="81">
        <v>198.26</v>
      </c>
    </row>
    <row r="1061" spans="1:3" x14ac:dyDescent="0.2">
      <c r="A1061" s="87" t="s">
        <v>291</v>
      </c>
      <c r="B1061" s="74" t="s">
        <v>201</v>
      </c>
      <c r="C1061" s="81">
        <v>198.26</v>
      </c>
    </row>
    <row r="1062" spans="1:3" x14ac:dyDescent="0.2">
      <c r="A1062" s="87" t="s">
        <v>291</v>
      </c>
      <c r="B1062" s="74" t="s">
        <v>201</v>
      </c>
      <c r="C1062" s="81">
        <v>198.26</v>
      </c>
    </row>
    <row r="1063" spans="1:3" x14ac:dyDescent="0.2">
      <c r="A1063" s="87" t="s">
        <v>291</v>
      </c>
      <c r="B1063" s="74" t="s">
        <v>201</v>
      </c>
      <c r="C1063" s="81">
        <v>198.26</v>
      </c>
    </row>
    <row r="1064" spans="1:3" x14ac:dyDescent="0.2">
      <c r="A1064" s="87" t="s">
        <v>291</v>
      </c>
      <c r="B1064" s="74" t="s">
        <v>201</v>
      </c>
      <c r="C1064" s="81">
        <v>198.26</v>
      </c>
    </row>
    <row r="1065" spans="1:3" x14ac:dyDescent="0.2">
      <c r="A1065" s="87" t="s">
        <v>291</v>
      </c>
      <c r="B1065" s="74" t="s">
        <v>201</v>
      </c>
      <c r="C1065" s="81">
        <v>198.26</v>
      </c>
    </row>
    <row r="1066" spans="1:3" x14ac:dyDescent="0.2">
      <c r="A1066" s="87" t="s">
        <v>291</v>
      </c>
      <c r="B1066" s="74" t="s">
        <v>201</v>
      </c>
      <c r="C1066" s="81">
        <v>198.26</v>
      </c>
    </row>
    <row r="1067" spans="1:3" x14ac:dyDescent="0.2">
      <c r="A1067" s="87" t="s">
        <v>291</v>
      </c>
      <c r="B1067" s="74" t="s">
        <v>201</v>
      </c>
      <c r="C1067" s="81">
        <v>198.26</v>
      </c>
    </row>
    <row r="1068" spans="1:3" x14ac:dyDescent="0.2">
      <c r="A1068" s="87" t="s">
        <v>291</v>
      </c>
      <c r="B1068" s="74" t="s">
        <v>201</v>
      </c>
      <c r="C1068" s="81">
        <v>198.26</v>
      </c>
    </row>
    <row r="1069" spans="1:3" x14ac:dyDescent="0.2">
      <c r="A1069" s="87" t="s">
        <v>291</v>
      </c>
      <c r="B1069" s="74" t="s">
        <v>201</v>
      </c>
      <c r="C1069" s="81">
        <v>198.26</v>
      </c>
    </row>
    <row r="1070" spans="1:3" x14ac:dyDescent="0.2">
      <c r="A1070" s="87" t="s">
        <v>291</v>
      </c>
      <c r="B1070" s="74" t="s">
        <v>201</v>
      </c>
      <c r="C1070" s="81">
        <v>198.26</v>
      </c>
    </row>
    <row r="1071" spans="1:3" x14ac:dyDescent="0.2">
      <c r="A1071" s="87" t="s">
        <v>291</v>
      </c>
      <c r="B1071" s="74" t="s">
        <v>201</v>
      </c>
      <c r="C1071" s="81">
        <v>198.26</v>
      </c>
    </row>
    <row r="1072" spans="1:3" x14ac:dyDescent="0.2">
      <c r="A1072" s="87" t="s">
        <v>291</v>
      </c>
      <c r="B1072" s="74" t="s">
        <v>201</v>
      </c>
      <c r="C1072" s="81">
        <v>198.26</v>
      </c>
    </row>
    <row r="1073" spans="1:3" x14ac:dyDescent="0.2">
      <c r="A1073" s="87" t="s">
        <v>291</v>
      </c>
      <c r="B1073" s="74" t="s">
        <v>201</v>
      </c>
      <c r="C1073" s="81">
        <v>198.26</v>
      </c>
    </row>
    <row r="1074" spans="1:3" x14ac:dyDescent="0.2">
      <c r="A1074" s="87" t="s">
        <v>291</v>
      </c>
      <c r="B1074" s="74" t="s">
        <v>201</v>
      </c>
      <c r="C1074" s="81">
        <v>198.26</v>
      </c>
    </row>
    <row r="1075" spans="1:3" x14ac:dyDescent="0.2">
      <c r="A1075" s="87" t="s">
        <v>291</v>
      </c>
      <c r="B1075" s="74" t="s">
        <v>201</v>
      </c>
      <c r="C1075" s="81">
        <v>198.26</v>
      </c>
    </row>
    <row r="1076" spans="1:3" x14ac:dyDescent="0.2">
      <c r="A1076" s="87" t="s">
        <v>291</v>
      </c>
      <c r="B1076" s="74" t="s">
        <v>201</v>
      </c>
      <c r="C1076" s="81">
        <v>198.26</v>
      </c>
    </row>
    <row r="1077" spans="1:3" x14ac:dyDescent="0.2">
      <c r="A1077" s="87" t="s">
        <v>291</v>
      </c>
      <c r="B1077" s="74" t="s">
        <v>201</v>
      </c>
      <c r="C1077" s="81">
        <v>198.26</v>
      </c>
    </row>
    <row r="1078" spans="1:3" x14ac:dyDescent="0.2">
      <c r="A1078" s="87" t="s">
        <v>291</v>
      </c>
      <c r="B1078" s="74" t="s">
        <v>201</v>
      </c>
      <c r="C1078" s="81">
        <v>198.26</v>
      </c>
    </row>
    <row r="1079" spans="1:3" x14ac:dyDescent="0.2">
      <c r="A1079" s="87" t="s">
        <v>291</v>
      </c>
      <c r="B1079" s="74" t="s">
        <v>201</v>
      </c>
      <c r="C1079" s="81">
        <v>198.26</v>
      </c>
    </row>
    <row r="1080" spans="1:3" x14ac:dyDescent="0.2">
      <c r="A1080" s="87" t="s">
        <v>291</v>
      </c>
      <c r="B1080" s="74" t="s">
        <v>201</v>
      </c>
      <c r="C1080" s="81">
        <v>198.26</v>
      </c>
    </row>
    <row r="1081" spans="1:3" x14ac:dyDescent="0.2">
      <c r="A1081" s="87" t="s">
        <v>291</v>
      </c>
      <c r="B1081" s="74" t="s">
        <v>201</v>
      </c>
      <c r="C1081" s="81">
        <v>198.26</v>
      </c>
    </row>
    <row r="1082" spans="1:3" x14ac:dyDescent="0.2">
      <c r="A1082" s="87" t="s">
        <v>291</v>
      </c>
      <c r="B1082" s="74" t="s">
        <v>201</v>
      </c>
      <c r="C1082" s="81">
        <v>198.26</v>
      </c>
    </row>
    <row r="1083" spans="1:3" x14ac:dyDescent="0.2">
      <c r="A1083" s="87" t="s">
        <v>291</v>
      </c>
      <c r="B1083" s="74" t="s">
        <v>201</v>
      </c>
      <c r="C1083" s="81">
        <v>198.26</v>
      </c>
    </row>
    <row r="1084" spans="1:3" x14ac:dyDescent="0.2">
      <c r="A1084" s="87" t="s">
        <v>291</v>
      </c>
      <c r="B1084" s="74" t="s">
        <v>201</v>
      </c>
      <c r="C1084" s="81">
        <v>198.26</v>
      </c>
    </row>
    <row r="1085" spans="1:3" x14ac:dyDescent="0.2">
      <c r="A1085" s="87" t="s">
        <v>291</v>
      </c>
      <c r="B1085" s="74" t="s">
        <v>201</v>
      </c>
      <c r="C1085" s="81">
        <v>198.26</v>
      </c>
    </row>
    <row r="1086" spans="1:3" x14ac:dyDescent="0.2">
      <c r="A1086" s="87" t="s">
        <v>291</v>
      </c>
      <c r="B1086" s="74" t="s">
        <v>201</v>
      </c>
      <c r="C1086" s="81">
        <v>198.26</v>
      </c>
    </row>
    <row r="1087" spans="1:3" x14ac:dyDescent="0.2">
      <c r="A1087" s="87" t="s">
        <v>291</v>
      </c>
      <c r="B1087" s="74" t="s">
        <v>201</v>
      </c>
      <c r="C1087" s="81">
        <v>198.26</v>
      </c>
    </row>
    <row r="1088" spans="1:3" x14ac:dyDescent="0.2">
      <c r="A1088" s="87" t="s">
        <v>291</v>
      </c>
      <c r="B1088" s="74" t="s">
        <v>202</v>
      </c>
      <c r="C1088" s="81">
        <v>520.87</v>
      </c>
    </row>
    <row r="1089" spans="1:3" x14ac:dyDescent="0.2">
      <c r="A1089" s="87" t="s">
        <v>291</v>
      </c>
      <c r="B1089" s="74" t="s">
        <v>202</v>
      </c>
      <c r="C1089" s="81">
        <v>520.87</v>
      </c>
    </row>
    <row r="1090" spans="1:3" x14ac:dyDescent="0.2">
      <c r="A1090" s="87" t="s">
        <v>291</v>
      </c>
      <c r="B1090" s="74" t="s">
        <v>202</v>
      </c>
      <c r="C1090" s="81">
        <v>520.87</v>
      </c>
    </row>
    <row r="1091" spans="1:3" x14ac:dyDescent="0.2">
      <c r="A1091" s="87" t="s">
        <v>291</v>
      </c>
      <c r="B1091" s="74" t="s">
        <v>202</v>
      </c>
      <c r="C1091" s="81">
        <v>520.87</v>
      </c>
    </row>
    <row r="1092" spans="1:3" x14ac:dyDescent="0.2">
      <c r="A1092" s="87" t="s">
        <v>291</v>
      </c>
      <c r="B1092" s="74" t="s">
        <v>202</v>
      </c>
      <c r="C1092" s="81">
        <v>520.87</v>
      </c>
    </row>
    <row r="1093" spans="1:3" x14ac:dyDescent="0.2">
      <c r="A1093" s="87" t="s">
        <v>291</v>
      </c>
      <c r="B1093" s="74" t="s">
        <v>202</v>
      </c>
      <c r="C1093" s="81">
        <v>520.87</v>
      </c>
    </row>
    <row r="1094" spans="1:3" x14ac:dyDescent="0.2">
      <c r="A1094" s="87" t="s">
        <v>291</v>
      </c>
      <c r="B1094" s="74" t="s">
        <v>202</v>
      </c>
      <c r="C1094" s="81">
        <v>520.87</v>
      </c>
    </row>
    <row r="1095" spans="1:3" x14ac:dyDescent="0.2">
      <c r="A1095" s="87" t="s">
        <v>291</v>
      </c>
      <c r="B1095" s="74" t="s">
        <v>202</v>
      </c>
      <c r="C1095" s="81">
        <v>520.87</v>
      </c>
    </row>
    <row r="1096" spans="1:3" x14ac:dyDescent="0.2">
      <c r="A1096" s="87" t="s">
        <v>291</v>
      </c>
      <c r="B1096" s="74" t="s">
        <v>202</v>
      </c>
      <c r="C1096" s="81">
        <v>520.87</v>
      </c>
    </row>
    <row r="1097" spans="1:3" x14ac:dyDescent="0.2">
      <c r="A1097" s="87" t="s">
        <v>291</v>
      </c>
      <c r="B1097" s="74" t="s">
        <v>202</v>
      </c>
      <c r="C1097" s="81">
        <v>520.87</v>
      </c>
    </row>
    <row r="1098" spans="1:3" x14ac:dyDescent="0.2">
      <c r="A1098" s="87" t="s">
        <v>291</v>
      </c>
      <c r="B1098" s="74" t="s">
        <v>202</v>
      </c>
      <c r="C1098" s="81">
        <v>520.87</v>
      </c>
    </row>
    <row r="1099" spans="1:3" x14ac:dyDescent="0.2">
      <c r="A1099" s="87" t="s">
        <v>291</v>
      </c>
      <c r="B1099" s="74" t="s">
        <v>202</v>
      </c>
      <c r="C1099" s="81">
        <v>520.87</v>
      </c>
    </row>
    <row r="1100" spans="1:3" x14ac:dyDescent="0.2">
      <c r="A1100" s="87" t="s">
        <v>291</v>
      </c>
      <c r="B1100" s="74" t="s">
        <v>202</v>
      </c>
      <c r="C1100" s="81">
        <v>520.87</v>
      </c>
    </row>
    <row r="1101" spans="1:3" x14ac:dyDescent="0.2">
      <c r="A1101" s="87" t="s">
        <v>291</v>
      </c>
      <c r="B1101" s="74" t="s">
        <v>202</v>
      </c>
      <c r="C1101" s="81">
        <v>520.87</v>
      </c>
    </row>
    <row r="1102" spans="1:3" x14ac:dyDescent="0.2">
      <c r="A1102" s="87" t="s">
        <v>291</v>
      </c>
      <c r="B1102" s="74" t="s">
        <v>202</v>
      </c>
      <c r="C1102" s="81">
        <v>520.87</v>
      </c>
    </row>
    <row r="1103" spans="1:3" x14ac:dyDescent="0.2">
      <c r="A1103" s="87" t="s">
        <v>291</v>
      </c>
      <c r="B1103" s="74" t="s">
        <v>202</v>
      </c>
      <c r="C1103" s="81">
        <v>520.87</v>
      </c>
    </row>
    <row r="1104" spans="1:3" x14ac:dyDescent="0.2">
      <c r="A1104" s="87" t="s">
        <v>291</v>
      </c>
      <c r="B1104" s="74" t="s">
        <v>202</v>
      </c>
      <c r="C1104" s="81">
        <v>520.87</v>
      </c>
    </row>
    <row r="1105" spans="1:3" x14ac:dyDescent="0.2">
      <c r="A1105" s="87" t="s">
        <v>291</v>
      </c>
      <c r="B1105" s="74" t="s">
        <v>202</v>
      </c>
      <c r="C1105" s="81">
        <v>520.87</v>
      </c>
    </row>
    <row r="1106" spans="1:3" x14ac:dyDescent="0.2">
      <c r="A1106" s="87" t="s">
        <v>291</v>
      </c>
      <c r="B1106" s="74" t="s">
        <v>202</v>
      </c>
      <c r="C1106" s="81">
        <v>520.87</v>
      </c>
    </row>
    <row r="1107" spans="1:3" x14ac:dyDescent="0.2">
      <c r="A1107" s="87" t="s">
        <v>291</v>
      </c>
      <c r="B1107" s="74" t="s">
        <v>202</v>
      </c>
      <c r="C1107" s="81">
        <v>520.87</v>
      </c>
    </row>
    <row r="1108" spans="1:3" x14ac:dyDescent="0.2">
      <c r="A1108" s="87" t="s">
        <v>291</v>
      </c>
      <c r="B1108" s="74" t="s">
        <v>203</v>
      </c>
      <c r="C1108" s="81">
        <v>1338.26</v>
      </c>
    </row>
    <row r="1109" spans="1:3" x14ac:dyDescent="0.2">
      <c r="A1109" s="87" t="s">
        <v>291</v>
      </c>
      <c r="B1109" s="74" t="s">
        <v>203</v>
      </c>
      <c r="C1109" s="81">
        <v>1338.26</v>
      </c>
    </row>
    <row r="1110" spans="1:3" x14ac:dyDescent="0.2">
      <c r="A1110" s="87" t="s">
        <v>291</v>
      </c>
      <c r="B1110" s="74" t="s">
        <v>204</v>
      </c>
      <c r="C1110" s="81">
        <v>2000</v>
      </c>
    </row>
    <row r="1111" spans="1:3" x14ac:dyDescent="0.2">
      <c r="A1111" s="87" t="s">
        <v>291</v>
      </c>
      <c r="B1111" s="74" t="s">
        <v>204</v>
      </c>
      <c r="C1111" s="81">
        <v>2000</v>
      </c>
    </row>
    <row r="1112" spans="1:3" ht="25.5" x14ac:dyDescent="0.2">
      <c r="A1112" s="87" t="s">
        <v>291</v>
      </c>
      <c r="B1112" s="74" t="s">
        <v>205</v>
      </c>
      <c r="C1112" s="81">
        <v>989.4</v>
      </c>
    </row>
    <row r="1113" spans="1:3" ht="25.5" x14ac:dyDescent="0.2">
      <c r="A1113" s="87" t="s">
        <v>291</v>
      </c>
      <c r="B1113" s="74" t="s">
        <v>205</v>
      </c>
      <c r="C1113" s="81">
        <v>989.4</v>
      </c>
    </row>
    <row r="1114" spans="1:3" ht="25.5" x14ac:dyDescent="0.2">
      <c r="A1114" s="87" t="s">
        <v>291</v>
      </c>
      <c r="B1114" s="74" t="s">
        <v>205</v>
      </c>
      <c r="C1114" s="81">
        <v>989.4</v>
      </c>
    </row>
    <row r="1115" spans="1:3" ht="25.5" x14ac:dyDescent="0.2">
      <c r="A1115" s="87" t="s">
        <v>291</v>
      </c>
      <c r="B1115" s="74" t="s">
        <v>205</v>
      </c>
      <c r="C1115" s="81">
        <v>989.4</v>
      </c>
    </row>
    <row r="1116" spans="1:3" ht="25.5" x14ac:dyDescent="0.2">
      <c r="A1116" s="87" t="s">
        <v>291</v>
      </c>
      <c r="B1116" s="74" t="s">
        <v>205</v>
      </c>
      <c r="C1116" s="81">
        <v>989.4</v>
      </c>
    </row>
    <row r="1117" spans="1:3" ht="25.5" x14ac:dyDescent="0.2">
      <c r="A1117" s="87" t="s">
        <v>291</v>
      </c>
      <c r="B1117" s="74" t="s">
        <v>205</v>
      </c>
      <c r="C1117" s="81">
        <v>989.4</v>
      </c>
    </row>
    <row r="1118" spans="1:3" ht="25.5" x14ac:dyDescent="0.2">
      <c r="A1118" s="87" t="s">
        <v>291</v>
      </c>
      <c r="B1118" s="74" t="s">
        <v>205</v>
      </c>
      <c r="C1118" s="81">
        <v>989.4</v>
      </c>
    </row>
    <row r="1119" spans="1:3" ht="25.5" x14ac:dyDescent="0.2">
      <c r="A1119" s="87" t="s">
        <v>291</v>
      </c>
      <c r="B1119" s="74" t="s">
        <v>205</v>
      </c>
      <c r="C1119" s="81">
        <v>989.4</v>
      </c>
    </row>
    <row r="1120" spans="1:3" ht="25.5" x14ac:dyDescent="0.2">
      <c r="A1120" s="87" t="s">
        <v>291</v>
      </c>
      <c r="B1120" s="74" t="s">
        <v>205</v>
      </c>
      <c r="C1120" s="81">
        <v>989.4</v>
      </c>
    </row>
    <row r="1121" spans="1:3" ht="25.5" x14ac:dyDescent="0.2">
      <c r="A1121" s="87" t="s">
        <v>291</v>
      </c>
      <c r="B1121" s="74" t="s">
        <v>205</v>
      </c>
      <c r="C1121" s="81">
        <v>989.4</v>
      </c>
    </row>
    <row r="1122" spans="1:3" ht="25.5" x14ac:dyDescent="0.2">
      <c r="A1122" s="87" t="s">
        <v>291</v>
      </c>
      <c r="B1122" s="74" t="s">
        <v>205</v>
      </c>
      <c r="C1122" s="81">
        <v>989.4</v>
      </c>
    </row>
    <row r="1123" spans="1:3" x14ac:dyDescent="0.2">
      <c r="A1123" s="87" t="s">
        <v>291</v>
      </c>
      <c r="B1123" s="74" t="s">
        <v>206</v>
      </c>
      <c r="C1123" s="81">
        <v>49850</v>
      </c>
    </row>
    <row r="1124" spans="1:3" x14ac:dyDescent="0.2">
      <c r="A1124" s="87" t="s">
        <v>291</v>
      </c>
      <c r="B1124" s="74" t="s">
        <v>204</v>
      </c>
      <c r="C1124" s="81">
        <v>2230.4299999999998</v>
      </c>
    </row>
    <row r="1125" spans="1:3" x14ac:dyDescent="0.2">
      <c r="A1125" s="87" t="s">
        <v>291</v>
      </c>
      <c r="B1125" s="74" t="s">
        <v>204</v>
      </c>
      <c r="C1125" s="81">
        <v>2230.4299999999998</v>
      </c>
    </row>
    <row r="1126" spans="1:3" x14ac:dyDescent="0.2">
      <c r="A1126" s="87" t="s">
        <v>291</v>
      </c>
      <c r="B1126" s="74" t="s">
        <v>204</v>
      </c>
      <c r="C1126" s="81">
        <v>1850.43</v>
      </c>
    </row>
    <row r="1127" spans="1:3" x14ac:dyDescent="0.2">
      <c r="A1127" s="87" t="s">
        <v>291</v>
      </c>
      <c r="B1127" s="74" t="s">
        <v>204</v>
      </c>
      <c r="C1127" s="81">
        <v>1850.43</v>
      </c>
    </row>
    <row r="1128" spans="1:3" x14ac:dyDescent="0.2">
      <c r="A1128" s="87" t="s">
        <v>291</v>
      </c>
      <c r="B1128" s="74" t="s">
        <v>204</v>
      </c>
      <c r="C1128" s="81">
        <v>1850.43</v>
      </c>
    </row>
    <row r="1129" spans="1:3" x14ac:dyDescent="0.2">
      <c r="A1129" s="87" t="s">
        <v>291</v>
      </c>
      <c r="B1129" s="74" t="s">
        <v>207</v>
      </c>
      <c r="C1129" s="81">
        <v>9980</v>
      </c>
    </row>
    <row r="1130" spans="1:3" x14ac:dyDescent="0.2">
      <c r="A1130" s="87" t="s">
        <v>291</v>
      </c>
      <c r="B1130" s="74" t="s">
        <v>207</v>
      </c>
      <c r="C1130" s="81">
        <v>9980</v>
      </c>
    </row>
    <row r="1131" spans="1:3" x14ac:dyDescent="0.2">
      <c r="A1131" s="87" t="s">
        <v>291</v>
      </c>
      <c r="B1131" s="74" t="s">
        <v>207</v>
      </c>
      <c r="C1131" s="81">
        <v>9980</v>
      </c>
    </row>
    <row r="1132" spans="1:3" x14ac:dyDescent="0.2">
      <c r="A1132" s="87" t="s">
        <v>291</v>
      </c>
      <c r="B1132" s="74" t="s">
        <v>208</v>
      </c>
      <c r="C1132" s="81">
        <v>1280</v>
      </c>
    </row>
    <row r="1133" spans="1:3" x14ac:dyDescent="0.2">
      <c r="A1133" s="87" t="s">
        <v>291</v>
      </c>
      <c r="B1133" s="74" t="s">
        <v>208</v>
      </c>
      <c r="C1133" s="81">
        <v>1280</v>
      </c>
    </row>
    <row r="1134" spans="1:3" x14ac:dyDescent="0.2">
      <c r="A1134" s="87" t="s">
        <v>291</v>
      </c>
      <c r="B1134" s="74" t="s">
        <v>208</v>
      </c>
      <c r="C1134" s="81">
        <v>1280</v>
      </c>
    </row>
    <row r="1135" spans="1:3" x14ac:dyDescent="0.2">
      <c r="A1135" s="87" t="s">
        <v>291</v>
      </c>
      <c r="B1135" s="74" t="s">
        <v>198</v>
      </c>
      <c r="C1135" s="81">
        <v>2565</v>
      </c>
    </row>
    <row r="1136" spans="1:3" x14ac:dyDescent="0.2">
      <c r="A1136" s="87" t="s">
        <v>291</v>
      </c>
      <c r="B1136" s="74" t="s">
        <v>198</v>
      </c>
      <c r="C1136" s="81">
        <v>2565</v>
      </c>
    </row>
    <row r="1137" spans="1:3" x14ac:dyDescent="0.2">
      <c r="A1137" s="87" t="s">
        <v>291</v>
      </c>
      <c r="B1137" s="74" t="s">
        <v>198</v>
      </c>
      <c r="C1137" s="81">
        <v>2565</v>
      </c>
    </row>
    <row r="1138" spans="1:3" x14ac:dyDescent="0.2">
      <c r="A1138" s="87" t="s">
        <v>291</v>
      </c>
      <c r="B1138" s="74" t="s">
        <v>198</v>
      </c>
      <c r="C1138" s="81">
        <v>2565</v>
      </c>
    </row>
    <row r="1139" spans="1:3" x14ac:dyDescent="0.2">
      <c r="A1139" s="87" t="s">
        <v>291</v>
      </c>
      <c r="B1139" s="74" t="s">
        <v>204</v>
      </c>
      <c r="C1139" s="81">
        <v>2099</v>
      </c>
    </row>
    <row r="1140" spans="1:3" x14ac:dyDescent="0.2">
      <c r="A1140" s="87" t="s">
        <v>291</v>
      </c>
      <c r="B1140" s="74" t="s">
        <v>209</v>
      </c>
      <c r="C1140" s="81">
        <v>5776.95</v>
      </c>
    </row>
    <row r="1141" spans="1:3" x14ac:dyDescent="0.2">
      <c r="A1141" s="87" t="s">
        <v>291</v>
      </c>
      <c r="B1141" s="74" t="s">
        <v>210</v>
      </c>
      <c r="C1141" s="81">
        <f>3825.22+110.61</f>
        <v>3935.83</v>
      </c>
    </row>
    <row r="1142" spans="1:3" x14ac:dyDescent="0.2">
      <c r="A1142" s="87" t="s">
        <v>291</v>
      </c>
      <c r="B1142" s="74" t="s">
        <v>196</v>
      </c>
      <c r="C1142" s="81">
        <f>3216.52+110.61</f>
        <v>3327.13</v>
      </c>
    </row>
    <row r="1143" spans="1:3" x14ac:dyDescent="0.2">
      <c r="A1143" s="87" t="s">
        <v>291</v>
      </c>
      <c r="B1143" s="74" t="s">
        <v>209</v>
      </c>
      <c r="C1143" s="81">
        <f>2173.04+110.61</f>
        <v>2283.65</v>
      </c>
    </row>
    <row r="1144" spans="1:3" x14ac:dyDescent="0.2">
      <c r="A1144" s="87" t="s">
        <v>291</v>
      </c>
      <c r="B1144" s="74" t="s">
        <v>209</v>
      </c>
      <c r="C1144" s="81">
        <f>2173.04+110.61</f>
        <v>2283.65</v>
      </c>
    </row>
    <row r="1145" spans="1:3" x14ac:dyDescent="0.2">
      <c r="A1145" s="87" t="s">
        <v>291</v>
      </c>
      <c r="B1145" s="74" t="s">
        <v>209</v>
      </c>
      <c r="C1145" s="81">
        <f>2173.04+110.61</f>
        <v>2283.65</v>
      </c>
    </row>
    <row r="1146" spans="1:3" x14ac:dyDescent="0.2">
      <c r="A1146" s="87" t="s">
        <v>291</v>
      </c>
      <c r="B1146" s="74" t="s">
        <v>211</v>
      </c>
      <c r="C1146" s="81">
        <v>1738</v>
      </c>
    </row>
    <row r="1147" spans="1:3" x14ac:dyDescent="0.2">
      <c r="A1147" s="87" t="s">
        <v>291</v>
      </c>
      <c r="B1147" s="74" t="s">
        <v>212</v>
      </c>
      <c r="C1147" s="81">
        <v>2598</v>
      </c>
    </row>
    <row r="1148" spans="1:3" x14ac:dyDescent="0.2">
      <c r="A1148" s="87" t="s">
        <v>291</v>
      </c>
      <c r="B1148" s="74" t="s">
        <v>212</v>
      </c>
      <c r="C1148" s="81">
        <v>2598</v>
      </c>
    </row>
    <row r="1149" spans="1:3" x14ac:dyDescent="0.2">
      <c r="A1149" s="87" t="s">
        <v>291</v>
      </c>
      <c r="B1149" s="74" t="s">
        <v>212</v>
      </c>
      <c r="C1149" s="81">
        <v>2598</v>
      </c>
    </row>
    <row r="1150" spans="1:3" x14ac:dyDescent="0.2">
      <c r="A1150" s="90" t="s">
        <v>291</v>
      </c>
      <c r="B1150" s="74" t="s">
        <v>198</v>
      </c>
      <c r="C1150" s="81">
        <v>2984</v>
      </c>
    </row>
    <row r="1151" spans="1:3" x14ac:dyDescent="0.2">
      <c r="A1151" s="87" t="s">
        <v>291</v>
      </c>
      <c r="B1151" s="74" t="s">
        <v>213</v>
      </c>
      <c r="C1151" s="81">
        <v>540</v>
      </c>
    </row>
    <row r="1152" spans="1:3" x14ac:dyDescent="0.2">
      <c r="A1152" s="87" t="s">
        <v>291</v>
      </c>
      <c r="B1152" s="74" t="s">
        <v>214</v>
      </c>
      <c r="C1152" s="81">
        <f t="shared" ref="C1152:C1160" si="6">4980*1.16</f>
        <v>5776.7999999999993</v>
      </c>
    </row>
    <row r="1153" spans="1:3" x14ac:dyDescent="0.2">
      <c r="A1153" s="87" t="s">
        <v>291</v>
      </c>
      <c r="B1153" s="74" t="s">
        <v>214</v>
      </c>
      <c r="C1153" s="81">
        <f t="shared" si="6"/>
        <v>5776.7999999999993</v>
      </c>
    </row>
    <row r="1154" spans="1:3" x14ac:dyDescent="0.2">
      <c r="A1154" s="87" t="s">
        <v>291</v>
      </c>
      <c r="B1154" s="74" t="s">
        <v>214</v>
      </c>
      <c r="C1154" s="81">
        <f t="shared" si="6"/>
        <v>5776.7999999999993</v>
      </c>
    </row>
    <row r="1155" spans="1:3" x14ac:dyDescent="0.2">
      <c r="A1155" s="87" t="s">
        <v>291</v>
      </c>
      <c r="B1155" s="74" t="s">
        <v>214</v>
      </c>
      <c r="C1155" s="81">
        <f t="shared" si="6"/>
        <v>5776.7999999999993</v>
      </c>
    </row>
    <row r="1156" spans="1:3" x14ac:dyDescent="0.2">
      <c r="A1156" s="87" t="s">
        <v>291</v>
      </c>
      <c r="B1156" s="74" t="s">
        <v>214</v>
      </c>
      <c r="C1156" s="81">
        <f t="shared" si="6"/>
        <v>5776.7999999999993</v>
      </c>
    </row>
    <row r="1157" spans="1:3" x14ac:dyDescent="0.2">
      <c r="A1157" s="87" t="s">
        <v>291</v>
      </c>
      <c r="B1157" s="74" t="s">
        <v>214</v>
      </c>
      <c r="C1157" s="81">
        <f t="shared" si="6"/>
        <v>5776.7999999999993</v>
      </c>
    </row>
    <row r="1158" spans="1:3" x14ac:dyDescent="0.2">
      <c r="A1158" s="87" t="s">
        <v>291</v>
      </c>
      <c r="B1158" s="74" t="s">
        <v>214</v>
      </c>
      <c r="C1158" s="81">
        <f t="shared" si="6"/>
        <v>5776.7999999999993</v>
      </c>
    </row>
    <row r="1159" spans="1:3" x14ac:dyDescent="0.2">
      <c r="A1159" s="87" t="s">
        <v>291</v>
      </c>
      <c r="B1159" s="74" t="s">
        <v>214</v>
      </c>
      <c r="C1159" s="81">
        <f t="shared" si="6"/>
        <v>5776.7999999999993</v>
      </c>
    </row>
    <row r="1160" spans="1:3" x14ac:dyDescent="0.2">
      <c r="A1160" s="87" t="s">
        <v>291</v>
      </c>
      <c r="B1160" s="74" t="s">
        <v>214</v>
      </c>
      <c r="C1160" s="81">
        <f t="shared" si="6"/>
        <v>5776.7999999999993</v>
      </c>
    </row>
    <row r="1161" spans="1:3" ht="25.5" x14ac:dyDescent="0.2">
      <c r="A1161" s="87" t="s">
        <v>291</v>
      </c>
      <c r="B1161" s="74" t="s">
        <v>215</v>
      </c>
      <c r="C1161" s="81">
        <f>26705.53*1.16</f>
        <v>30978.414799999995</v>
      </c>
    </row>
    <row r="1162" spans="1:3" x14ac:dyDescent="0.2">
      <c r="A1162" s="87" t="s">
        <v>291</v>
      </c>
      <c r="B1162" s="74" t="s">
        <v>216</v>
      </c>
      <c r="C1162" s="81">
        <f>19250*1.16</f>
        <v>22330</v>
      </c>
    </row>
    <row r="1163" spans="1:3" x14ac:dyDescent="0.2">
      <c r="A1163" s="87" t="s">
        <v>291</v>
      </c>
      <c r="B1163" s="74" t="s">
        <v>217</v>
      </c>
      <c r="C1163" s="81">
        <v>4420</v>
      </c>
    </row>
    <row r="1164" spans="1:3" x14ac:dyDescent="0.2">
      <c r="A1164" s="87" t="s">
        <v>291</v>
      </c>
      <c r="B1164" s="74" t="s">
        <v>218</v>
      </c>
      <c r="C1164" s="81">
        <f t="shared" ref="C1164:C1227" si="7">4482.76*1.16</f>
        <v>5200.0015999999996</v>
      </c>
    </row>
    <row r="1165" spans="1:3" x14ac:dyDescent="0.2">
      <c r="A1165" s="87" t="s">
        <v>291</v>
      </c>
      <c r="B1165" s="74" t="s">
        <v>218</v>
      </c>
      <c r="C1165" s="81">
        <f t="shared" si="7"/>
        <v>5200.0015999999996</v>
      </c>
    </row>
    <row r="1166" spans="1:3" x14ac:dyDescent="0.2">
      <c r="A1166" s="87" t="s">
        <v>291</v>
      </c>
      <c r="B1166" s="74" t="s">
        <v>218</v>
      </c>
      <c r="C1166" s="81">
        <f t="shared" si="7"/>
        <v>5200.0015999999996</v>
      </c>
    </row>
    <row r="1167" spans="1:3" x14ac:dyDescent="0.2">
      <c r="A1167" s="87" t="s">
        <v>291</v>
      </c>
      <c r="B1167" s="74" t="s">
        <v>218</v>
      </c>
      <c r="C1167" s="81">
        <f t="shared" si="7"/>
        <v>5200.0015999999996</v>
      </c>
    </row>
    <row r="1168" spans="1:3" x14ac:dyDescent="0.2">
      <c r="A1168" s="87" t="s">
        <v>291</v>
      </c>
      <c r="B1168" s="74" t="s">
        <v>218</v>
      </c>
      <c r="C1168" s="81">
        <f t="shared" si="7"/>
        <v>5200.0015999999996</v>
      </c>
    </row>
    <row r="1169" spans="1:3" x14ac:dyDescent="0.2">
      <c r="A1169" s="87" t="s">
        <v>291</v>
      </c>
      <c r="B1169" s="74" t="s">
        <v>218</v>
      </c>
      <c r="C1169" s="81">
        <f t="shared" si="7"/>
        <v>5200.0015999999996</v>
      </c>
    </row>
    <row r="1170" spans="1:3" x14ac:dyDescent="0.2">
      <c r="A1170" s="87" t="s">
        <v>291</v>
      </c>
      <c r="B1170" s="74" t="s">
        <v>218</v>
      </c>
      <c r="C1170" s="81">
        <f t="shared" si="7"/>
        <v>5200.0015999999996</v>
      </c>
    </row>
    <row r="1171" spans="1:3" x14ac:dyDescent="0.2">
      <c r="A1171" s="87" t="s">
        <v>291</v>
      </c>
      <c r="B1171" s="74" t="s">
        <v>218</v>
      </c>
      <c r="C1171" s="81">
        <f t="shared" si="7"/>
        <v>5200.0015999999996</v>
      </c>
    </row>
    <row r="1172" spans="1:3" x14ac:dyDescent="0.2">
      <c r="A1172" s="87" t="s">
        <v>291</v>
      </c>
      <c r="B1172" s="74" t="s">
        <v>218</v>
      </c>
      <c r="C1172" s="81">
        <f t="shared" si="7"/>
        <v>5200.0015999999996</v>
      </c>
    </row>
    <row r="1173" spans="1:3" x14ac:dyDescent="0.2">
      <c r="A1173" s="87" t="s">
        <v>291</v>
      </c>
      <c r="B1173" s="74" t="s">
        <v>218</v>
      </c>
      <c r="C1173" s="81">
        <f t="shared" si="7"/>
        <v>5200.0015999999996</v>
      </c>
    </row>
    <row r="1174" spans="1:3" x14ac:dyDescent="0.2">
      <c r="A1174" s="87" t="s">
        <v>291</v>
      </c>
      <c r="B1174" s="74" t="s">
        <v>218</v>
      </c>
      <c r="C1174" s="81">
        <f t="shared" si="7"/>
        <v>5200.0015999999996</v>
      </c>
    </row>
    <row r="1175" spans="1:3" x14ac:dyDescent="0.2">
      <c r="A1175" s="87" t="s">
        <v>291</v>
      </c>
      <c r="B1175" s="74" t="s">
        <v>218</v>
      </c>
      <c r="C1175" s="81">
        <f t="shared" si="7"/>
        <v>5200.0015999999996</v>
      </c>
    </row>
    <row r="1176" spans="1:3" x14ac:dyDescent="0.2">
      <c r="A1176" s="87" t="s">
        <v>291</v>
      </c>
      <c r="B1176" s="74" t="s">
        <v>218</v>
      </c>
      <c r="C1176" s="81">
        <f t="shared" si="7"/>
        <v>5200.0015999999996</v>
      </c>
    </row>
    <row r="1177" spans="1:3" x14ac:dyDescent="0.2">
      <c r="A1177" s="87" t="s">
        <v>291</v>
      </c>
      <c r="B1177" s="74" t="s">
        <v>218</v>
      </c>
      <c r="C1177" s="81">
        <f t="shared" si="7"/>
        <v>5200.0015999999996</v>
      </c>
    </row>
    <row r="1178" spans="1:3" x14ac:dyDescent="0.2">
      <c r="A1178" s="87" t="s">
        <v>291</v>
      </c>
      <c r="B1178" s="74" t="s">
        <v>218</v>
      </c>
      <c r="C1178" s="81">
        <f t="shared" si="7"/>
        <v>5200.0015999999996</v>
      </c>
    </row>
    <row r="1179" spans="1:3" x14ac:dyDescent="0.2">
      <c r="A1179" s="87" t="s">
        <v>291</v>
      </c>
      <c r="B1179" s="74" t="s">
        <v>218</v>
      </c>
      <c r="C1179" s="81">
        <f t="shared" si="7"/>
        <v>5200.0015999999996</v>
      </c>
    </row>
    <row r="1180" spans="1:3" x14ac:dyDescent="0.2">
      <c r="A1180" s="87" t="s">
        <v>291</v>
      </c>
      <c r="B1180" s="74" t="s">
        <v>218</v>
      </c>
      <c r="C1180" s="81">
        <f t="shared" si="7"/>
        <v>5200.0015999999996</v>
      </c>
    </row>
    <row r="1181" spans="1:3" x14ac:dyDescent="0.2">
      <c r="A1181" s="87" t="s">
        <v>291</v>
      </c>
      <c r="B1181" s="74" t="s">
        <v>218</v>
      </c>
      <c r="C1181" s="81">
        <f t="shared" si="7"/>
        <v>5200.0015999999996</v>
      </c>
    </row>
    <row r="1182" spans="1:3" x14ac:dyDescent="0.2">
      <c r="A1182" s="87" t="s">
        <v>291</v>
      </c>
      <c r="B1182" s="74" t="s">
        <v>218</v>
      </c>
      <c r="C1182" s="81">
        <f t="shared" si="7"/>
        <v>5200.0015999999996</v>
      </c>
    </row>
    <row r="1183" spans="1:3" x14ac:dyDescent="0.2">
      <c r="A1183" s="87" t="s">
        <v>291</v>
      </c>
      <c r="B1183" s="74" t="s">
        <v>218</v>
      </c>
      <c r="C1183" s="81">
        <f t="shared" si="7"/>
        <v>5200.0015999999996</v>
      </c>
    </row>
    <row r="1184" spans="1:3" x14ac:dyDescent="0.2">
      <c r="A1184" s="87" t="s">
        <v>291</v>
      </c>
      <c r="B1184" s="74" t="s">
        <v>218</v>
      </c>
      <c r="C1184" s="81">
        <f t="shared" si="7"/>
        <v>5200.0015999999996</v>
      </c>
    </row>
    <row r="1185" spans="1:3" x14ac:dyDescent="0.2">
      <c r="A1185" s="87" t="s">
        <v>291</v>
      </c>
      <c r="B1185" s="74" t="s">
        <v>218</v>
      </c>
      <c r="C1185" s="81">
        <f t="shared" si="7"/>
        <v>5200.0015999999996</v>
      </c>
    </row>
    <row r="1186" spans="1:3" x14ac:dyDescent="0.2">
      <c r="A1186" s="87" t="s">
        <v>291</v>
      </c>
      <c r="B1186" s="74" t="s">
        <v>218</v>
      </c>
      <c r="C1186" s="81">
        <f t="shared" si="7"/>
        <v>5200.0015999999996</v>
      </c>
    </row>
    <row r="1187" spans="1:3" x14ac:dyDescent="0.2">
      <c r="A1187" s="87" t="s">
        <v>291</v>
      </c>
      <c r="B1187" s="74" t="s">
        <v>218</v>
      </c>
      <c r="C1187" s="81">
        <f t="shared" si="7"/>
        <v>5200.0015999999996</v>
      </c>
    </row>
    <row r="1188" spans="1:3" x14ac:dyDescent="0.2">
      <c r="A1188" s="87" t="s">
        <v>291</v>
      </c>
      <c r="B1188" s="74" t="s">
        <v>218</v>
      </c>
      <c r="C1188" s="81">
        <f t="shared" si="7"/>
        <v>5200.0015999999996</v>
      </c>
    </row>
    <row r="1189" spans="1:3" x14ac:dyDescent="0.2">
      <c r="A1189" s="87" t="s">
        <v>291</v>
      </c>
      <c r="B1189" s="74" t="s">
        <v>218</v>
      </c>
      <c r="C1189" s="81">
        <f t="shared" si="7"/>
        <v>5200.0015999999996</v>
      </c>
    </row>
    <row r="1190" spans="1:3" x14ac:dyDescent="0.2">
      <c r="A1190" s="87" t="s">
        <v>291</v>
      </c>
      <c r="B1190" s="74" t="s">
        <v>218</v>
      </c>
      <c r="C1190" s="81">
        <f t="shared" si="7"/>
        <v>5200.0015999999996</v>
      </c>
    </row>
    <row r="1191" spans="1:3" x14ac:dyDescent="0.2">
      <c r="A1191" s="87" t="s">
        <v>291</v>
      </c>
      <c r="B1191" s="74" t="s">
        <v>218</v>
      </c>
      <c r="C1191" s="81">
        <f t="shared" si="7"/>
        <v>5200.0015999999996</v>
      </c>
    </row>
    <row r="1192" spans="1:3" x14ac:dyDescent="0.2">
      <c r="A1192" s="87" t="s">
        <v>291</v>
      </c>
      <c r="B1192" s="74" t="s">
        <v>218</v>
      </c>
      <c r="C1192" s="81">
        <f t="shared" si="7"/>
        <v>5200.0015999999996</v>
      </c>
    </row>
    <row r="1193" spans="1:3" x14ac:dyDescent="0.2">
      <c r="A1193" s="87" t="s">
        <v>291</v>
      </c>
      <c r="B1193" s="74" t="s">
        <v>218</v>
      </c>
      <c r="C1193" s="81">
        <f t="shared" si="7"/>
        <v>5200.0015999999996</v>
      </c>
    </row>
    <row r="1194" spans="1:3" x14ac:dyDescent="0.2">
      <c r="A1194" s="87" t="s">
        <v>291</v>
      </c>
      <c r="B1194" s="74" t="s">
        <v>218</v>
      </c>
      <c r="C1194" s="81">
        <f t="shared" si="7"/>
        <v>5200.0015999999996</v>
      </c>
    </row>
    <row r="1195" spans="1:3" x14ac:dyDescent="0.2">
      <c r="A1195" s="87" t="s">
        <v>291</v>
      </c>
      <c r="B1195" s="74" t="s">
        <v>218</v>
      </c>
      <c r="C1195" s="81">
        <f t="shared" si="7"/>
        <v>5200.0015999999996</v>
      </c>
    </row>
    <row r="1196" spans="1:3" x14ac:dyDescent="0.2">
      <c r="A1196" s="87" t="s">
        <v>291</v>
      </c>
      <c r="B1196" s="74" t="s">
        <v>218</v>
      </c>
      <c r="C1196" s="81">
        <f t="shared" si="7"/>
        <v>5200.0015999999996</v>
      </c>
    </row>
    <row r="1197" spans="1:3" x14ac:dyDescent="0.2">
      <c r="A1197" s="87" t="s">
        <v>291</v>
      </c>
      <c r="B1197" s="74" t="s">
        <v>218</v>
      </c>
      <c r="C1197" s="81">
        <f t="shared" si="7"/>
        <v>5200.0015999999996</v>
      </c>
    </row>
    <row r="1198" spans="1:3" x14ac:dyDescent="0.2">
      <c r="A1198" s="87" t="s">
        <v>291</v>
      </c>
      <c r="B1198" s="74" t="s">
        <v>218</v>
      </c>
      <c r="C1198" s="81">
        <f t="shared" si="7"/>
        <v>5200.0015999999996</v>
      </c>
    </row>
    <row r="1199" spans="1:3" x14ac:dyDescent="0.2">
      <c r="A1199" s="87" t="s">
        <v>291</v>
      </c>
      <c r="B1199" s="74" t="s">
        <v>218</v>
      </c>
      <c r="C1199" s="81">
        <f t="shared" si="7"/>
        <v>5200.0015999999996</v>
      </c>
    </row>
    <row r="1200" spans="1:3" x14ac:dyDescent="0.2">
      <c r="A1200" s="87" t="s">
        <v>291</v>
      </c>
      <c r="B1200" s="74" t="s">
        <v>218</v>
      </c>
      <c r="C1200" s="81">
        <f t="shared" si="7"/>
        <v>5200.0015999999996</v>
      </c>
    </row>
    <row r="1201" spans="1:3" x14ac:dyDescent="0.2">
      <c r="A1201" s="87" t="s">
        <v>291</v>
      </c>
      <c r="B1201" s="74" t="s">
        <v>218</v>
      </c>
      <c r="C1201" s="81">
        <f t="shared" si="7"/>
        <v>5200.0015999999996</v>
      </c>
    </row>
    <row r="1202" spans="1:3" x14ac:dyDescent="0.2">
      <c r="A1202" s="87" t="s">
        <v>291</v>
      </c>
      <c r="B1202" s="74" t="s">
        <v>218</v>
      </c>
      <c r="C1202" s="81">
        <f t="shared" si="7"/>
        <v>5200.0015999999996</v>
      </c>
    </row>
    <row r="1203" spans="1:3" x14ac:dyDescent="0.2">
      <c r="A1203" s="87" t="s">
        <v>291</v>
      </c>
      <c r="B1203" s="74" t="s">
        <v>218</v>
      </c>
      <c r="C1203" s="81">
        <f t="shared" si="7"/>
        <v>5200.0015999999996</v>
      </c>
    </row>
    <row r="1204" spans="1:3" x14ac:dyDescent="0.2">
      <c r="A1204" s="87" t="s">
        <v>291</v>
      </c>
      <c r="B1204" s="74" t="s">
        <v>218</v>
      </c>
      <c r="C1204" s="81">
        <f t="shared" si="7"/>
        <v>5200.0015999999996</v>
      </c>
    </row>
    <row r="1205" spans="1:3" x14ac:dyDescent="0.2">
      <c r="A1205" s="87" t="s">
        <v>291</v>
      </c>
      <c r="B1205" s="74" t="s">
        <v>218</v>
      </c>
      <c r="C1205" s="81">
        <f t="shared" si="7"/>
        <v>5200.0015999999996</v>
      </c>
    </row>
    <row r="1206" spans="1:3" x14ac:dyDescent="0.2">
      <c r="A1206" s="87" t="s">
        <v>291</v>
      </c>
      <c r="B1206" s="74" t="s">
        <v>218</v>
      </c>
      <c r="C1206" s="81">
        <f t="shared" si="7"/>
        <v>5200.0015999999996</v>
      </c>
    </row>
    <row r="1207" spans="1:3" x14ac:dyDescent="0.2">
      <c r="A1207" s="87" t="s">
        <v>291</v>
      </c>
      <c r="B1207" s="74" t="s">
        <v>218</v>
      </c>
      <c r="C1207" s="81">
        <f t="shared" si="7"/>
        <v>5200.0015999999996</v>
      </c>
    </row>
    <row r="1208" spans="1:3" x14ac:dyDescent="0.2">
      <c r="A1208" s="87" t="s">
        <v>291</v>
      </c>
      <c r="B1208" s="74" t="s">
        <v>218</v>
      </c>
      <c r="C1208" s="81">
        <f t="shared" si="7"/>
        <v>5200.0015999999996</v>
      </c>
    </row>
    <row r="1209" spans="1:3" x14ac:dyDescent="0.2">
      <c r="A1209" s="87" t="s">
        <v>291</v>
      </c>
      <c r="B1209" s="74" t="s">
        <v>218</v>
      </c>
      <c r="C1209" s="81">
        <f t="shared" si="7"/>
        <v>5200.0015999999996</v>
      </c>
    </row>
    <row r="1210" spans="1:3" x14ac:dyDescent="0.2">
      <c r="A1210" s="87" t="s">
        <v>291</v>
      </c>
      <c r="B1210" s="74" t="s">
        <v>218</v>
      </c>
      <c r="C1210" s="81">
        <f t="shared" si="7"/>
        <v>5200.0015999999996</v>
      </c>
    </row>
    <row r="1211" spans="1:3" x14ac:dyDescent="0.2">
      <c r="A1211" s="87" t="s">
        <v>291</v>
      </c>
      <c r="B1211" s="74" t="s">
        <v>218</v>
      </c>
      <c r="C1211" s="81">
        <f t="shared" si="7"/>
        <v>5200.0015999999996</v>
      </c>
    </row>
    <row r="1212" spans="1:3" x14ac:dyDescent="0.2">
      <c r="A1212" s="87" t="s">
        <v>291</v>
      </c>
      <c r="B1212" s="74" t="s">
        <v>218</v>
      </c>
      <c r="C1212" s="81">
        <f t="shared" si="7"/>
        <v>5200.0015999999996</v>
      </c>
    </row>
    <row r="1213" spans="1:3" x14ac:dyDescent="0.2">
      <c r="A1213" s="87" t="s">
        <v>291</v>
      </c>
      <c r="B1213" s="74" t="s">
        <v>218</v>
      </c>
      <c r="C1213" s="81">
        <f t="shared" si="7"/>
        <v>5200.0015999999996</v>
      </c>
    </row>
    <row r="1214" spans="1:3" x14ac:dyDescent="0.2">
      <c r="A1214" s="87" t="s">
        <v>291</v>
      </c>
      <c r="B1214" s="74" t="s">
        <v>218</v>
      </c>
      <c r="C1214" s="81">
        <f t="shared" si="7"/>
        <v>5200.0015999999996</v>
      </c>
    </row>
    <row r="1215" spans="1:3" x14ac:dyDescent="0.2">
      <c r="A1215" s="87" t="s">
        <v>291</v>
      </c>
      <c r="B1215" s="74" t="s">
        <v>218</v>
      </c>
      <c r="C1215" s="81">
        <f t="shared" si="7"/>
        <v>5200.0015999999996</v>
      </c>
    </row>
    <row r="1216" spans="1:3" x14ac:dyDescent="0.2">
      <c r="A1216" s="87" t="s">
        <v>291</v>
      </c>
      <c r="B1216" s="74" t="s">
        <v>218</v>
      </c>
      <c r="C1216" s="81">
        <f t="shared" si="7"/>
        <v>5200.0015999999996</v>
      </c>
    </row>
    <row r="1217" spans="1:3" x14ac:dyDescent="0.2">
      <c r="A1217" s="87" t="s">
        <v>291</v>
      </c>
      <c r="B1217" s="74" t="s">
        <v>218</v>
      </c>
      <c r="C1217" s="81">
        <f t="shared" si="7"/>
        <v>5200.0015999999996</v>
      </c>
    </row>
    <row r="1218" spans="1:3" x14ac:dyDescent="0.2">
      <c r="A1218" s="87" t="s">
        <v>291</v>
      </c>
      <c r="B1218" s="74" t="s">
        <v>218</v>
      </c>
      <c r="C1218" s="81">
        <f t="shared" si="7"/>
        <v>5200.0015999999996</v>
      </c>
    </row>
    <row r="1219" spans="1:3" x14ac:dyDescent="0.2">
      <c r="A1219" s="87" t="s">
        <v>291</v>
      </c>
      <c r="B1219" s="74" t="s">
        <v>218</v>
      </c>
      <c r="C1219" s="81">
        <f t="shared" si="7"/>
        <v>5200.0015999999996</v>
      </c>
    </row>
    <row r="1220" spans="1:3" x14ac:dyDescent="0.2">
      <c r="A1220" s="87" t="s">
        <v>291</v>
      </c>
      <c r="B1220" s="74" t="s">
        <v>218</v>
      </c>
      <c r="C1220" s="81">
        <f t="shared" si="7"/>
        <v>5200.0015999999996</v>
      </c>
    </row>
    <row r="1221" spans="1:3" x14ac:dyDescent="0.2">
      <c r="A1221" s="87" t="s">
        <v>291</v>
      </c>
      <c r="B1221" s="74" t="s">
        <v>218</v>
      </c>
      <c r="C1221" s="81">
        <f t="shared" si="7"/>
        <v>5200.0015999999996</v>
      </c>
    </row>
    <row r="1222" spans="1:3" x14ac:dyDescent="0.2">
      <c r="A1222" s="87" t="s">
        <v>291</v>
      </c>
      <c r="B1222" s="74" t="s">
        <v>218</v>
      </c>
      <c r="C1222" s="81">
        <f t="shared" si="7"/>
        <v>5200.0015999999996</v>
      </c>
    </row>
    <row r="1223" spans="1:3" x14ac:dyDescent="0.2">
      <c r="A1223" s="87" t="s">
        <v>291</v>
      </c>
      <c r="B1223" s="74" t="s">
        <v>218</v>
      </c>
      <c r="C1223" s="81">
        <f t="shared" si="7"/>
        <v>5200.0015999999996</v>
      </c>
    </row>
    <row r="1224" spans="1:3" x14ac:dyDescent="0.2">
      <c r="A1224" s="87" t="s">
        <v>291</v>
      </c>
      <c r="B1224" s="74" t="s">
        <v>218</v>
      </c>
      <c r="C1224" s="81">
        <f t="shared" si="7"/>
        <v>5200.0015999999996</v>
      </c>
    </row>
    <row r="1225" spans="1:3" x14ac:dyDescent="0.2">
      <c r="A1225" s="87" t="s">
        <v>291</v>
      </c>
      <c r="B1225" s="74" t="s">
        <v>218</v>
      </c>
      <c r="C1225" s="81">
        <f t="shared" si="7"/>
        <v>5200.0015999999996</v>
      </c>
    </row>
    <row r="1226" spans="1:3" x14ac:dyDescent="0.2">
      <c r="A1226" s="87" t="s">
        <v>291</v>
      </c>
      <c r="B1226" s="74" t="s">
        <v>218</v>
      </c>
      <c r="C1226" s="81">
        <f t="shared" si="7"/>
        <v>5200.0015999999996</v>
      </c>
    </row>
    <row r="1227" spans="1:3" x14ac:dyDescent="0.2">
      <c r="A1227" s="87" t="s">
        <v>291</v>
      </c>
      <c r="B1227" s="74" t="s">
        <v>218</v>
      </c>
      <c r="C1227" s="81">
        <f t="shared" si="7"/>
        <v>5200.0015999999996</v>
      </c>
    </row>
    <row r="1228" spans="1:3" x14ac:dyDescent="0.2">
      <c r="A1228" s="87" t="s">
        <v>291</v>
      </c>
      <c r="B1228" s="74" t="s">
        <v>218</v>
      </c>
      <c r="C1228" s="81">
        <f t="shared" ref="C1228:C1263" si="8">4482.76*1.16</f>
        <v>5200.0015999999996</v>
      </c>
    </row>
    <row r="1229" spans="1:3" x14ac:dyDescent="0.2">
      <c r="A1229" s="87" t="s">
        <v>291</v>
      </c>
      <c r="B1229" s="74" t="s">
        <v>218</v>
      </c>
      <c r="C1229" s="81">
        <f t="shared" si="8"/>
        <v>5200.0015999999996</v>
      </c>
    </row>
    <row r="1230" spans="1:3" x14ac:dyDescent="0.2">
      <c r="A1230" s="87" t="s">
        <v>291</v>
      </c>
      <c r="B1230" s="74" t="s">
        <v>218</v>
      </c>
      <c r="C1230" s="81">
        <f t="shared" si="8"/>
        <v>5200.0015999999996</v>
      </c>
    </row>
    <row r="1231" spans="1:3" x14ac:dyDescent="0.2">
      <c r="A1231" s="87" t="s">
        <v>291</v>
      </c>
      <c r="B1231" s="74" t="s">
        <v>218</v>
      </c>
      <c r="C1231" s="81">
        <f t="shared" si="8"/>
        <v>5200.0015999999996</v>
      </c>
    </row>
    <row r="1232" spans="1:3" x14ac:dyDescent="0.2">
      <c r="A1232" s="87" t="s">
        <v>291</v>
      </c>
      <c r="B1232" s="74" t="s">
        <v>218</v>
      </c>
      <c r="C1232" s="81">
        <f t="shared" si="8"/>
        <v>5200.0015999999996</v>
      </c>
    </row>
    <row r="1233" spans="1:3" x14ac:dyDescent="0.2">
      <c r="A1233" s="87" t="s">
        <v>291</v>
      </c>
      <c r="B1233" s="74" t="s">
        <v>218</v>
      </c>
      <c r="C1233" s="81">
        <f t="shared" si="8"/>
        <v>5200.0015999999996</v>
      </c>
    </row>
    <row r="1234" spans="1:3" x14ac:dyDescent="0.2">
      <c r="A1234" s="87" t="s">
        <v>291</v>
      </c>
      <c r="B1234" s="74" t="s">
        <v>218</v>
      </c>
      <c r="C1234" s="81">
        <f t="shared" si="8"/>
        <v>5200.0015999999996</v>
      </c>
    </row>
    <row r="1235" spans="1:3" x14ac:dyDescent="0.2">
      <c r="A1235" s="87" t="s">
        <v>291</v>
      </c>
      <c r="B1235" s="74" t="s">
        <v>218</v>
      </c>
      <c r="C1235" s="81">
        <f t="shared" si="8"/>
        <v>5200.0015999999996</v>
      </c>
    </row>
    <row r="1236" spans="1:3" x14ac:dyDescent="0.2">
      <c r="A1236" s="87" t="s">
        <v>291</v>
      </c>
      <c r="B1236" s="74" t="s">
        <v>218</v>
      </c>
      <c r="C1236" s="81">
        <f t="shared" si="8"/>
        <v>5200.0015999999996</v>
      </c>
    </row>
    <row r="1237" spans="1:3" x14ac:dyDescent="0.2">
      <c r="A1237" s="87" t="s">
        <v>291</v>
      </c>
      <c r="B1237" s="74" t="s">
        <v>218</v>
      </c>
      <c r="C1237" s="81">
        <f t="shared" si="8"/>
        <v>5200.0015999999996</v>
      </c>
    </row>
    <row r="1238" spans="1:3" x14ac:dyDescent="0.2">
      <c r="A1238" s="87" t="s">
        <v>291</v>
      </c>
      <c r="B1238" s="74" t="s">
        <v>218</v>
      </c>
      <c r="C1238" s="81">
        <f t="shared" si="8"/>
        <v>5200.0015999999996</v>
      </c>
    </row>
    <row r="1239" spans="1:3" x14ac:dyDescent="0.2">
      <c r="A1239" s="87" t="s">
        <v>291</v>
      </c>
      <c r="B1239" s="74" t="s">
        <v>218</v>
      </c>
      <c r="C1239" s="81">
        <f t="shared" si="8"/>
        <v>5200.0015999999996</v>
      </c>
    </row>
    <row r="1240" spans="1:3" x14ac:dyDescent="0.2">
      <c r="A1240" s="87" t="s">
        <v>291</v>
      </c>
      <c r="B1240" s="74" t="s">
        <v>218</v>
      </c>
      <c r="C1240" s="81">
        <f t="shared" si="8"/>
        <v>5200.0015999999996</v>
      </c>
    </row>
    <row r="1241" spans="1:3" x14ac:dyDescent="0.2">
      <c r="A1241" s="87" t="s">
        <v>291</v>
      </c>
      <c r="B1241" s="74" t="s">
        <v>218</v>
      </c>
      <c r="C1241" s="81">
        <f t="shared" si="8"/>
        <v>5200.0015999999996</v>
      </c>
    </row>
    <row r="1242" spans="1:3" x14ac:dyDescent="0.2">
      <c r="A1242" s="87" t="s">
        <v>291</v>
      </c>
      <c r="B1242" s="74" t="s">
        <v>218</v>
      </c>
      <c r="C1242" s="81">
        <f t="shared" si="8"/>
        <v>5200.0015999999996</v>
      </c>
    </row>
    <row r="1243" spans="1:3" x14ac:dyDescent="0.2">
      <c r="A1243" s="87" t="s">
        <v>291</v>
      </c>
      <c r="B1243" s="74" t="s">
        <v>218</v>
      </c>
      <c r="C1243" s="81">
        <f t="shared" si="8"/>
        <v>5200.0015999999996</v>
      </c>
    </row>
    <row r="1244" spans="1:3" x14ac:dyDescent="0.2">
      <c r="A1244" s="87" t="s">
        <v>291</v>
      </c>
      <c r="B1244" s="74" t="s">
        <v>218</v>
      </c>
      <c r="C1244" s="81">
        <f t="shared" si="8"/>
        <v>5200.0015999999996</v>
      </c>
    </row>
    <row r="1245" spans="1:3" x14ac:dyDescent="0.2">
      <c r="A1245" s="87" t="s">
        <v>291</v>
      </c>
      <c r="B1245" s="74" t="s">
        <v>218</v>
      </c>
      <c r="C1245" s="81">
        <f t="shared" si="8"/>
        <v>5200.0015999999996</v>
      </c>
    </row>
    <row r="1246" spans="1:3" x14ac:dyDescent="0.2">
      <c r="A1246" s="87" t="s">
        <v>291</v>
      </c>
      <c r="B1246" s="74" t="s">
        <v>218</v>
      </c>
      <c r="C1246" s="81">
        <f t="shared" si="8"/>
        <v>5200.0015999999996</v>
      </c>
    </row>
    <row r="1247" spans="1:3" x14ac:dyDescent="0.2">
      <c r="A1247" s="87" t="s">
        <v>291</v>
      </c>
      <c r="B1247" s="74" t="s">
        <v>218</v>
      </c>
      <c r="C1247" s="81">
        <f t="shared" si="8"/>
        <v>5200.0015999999996</v>
      </c>
    </row>
    <row r="1248" spans="1:3" x14ac:dyDescent="0.2">
      <c r="A1248" s="87" t="s">
        <v>291</v>
      </c>
      <c r="B1248" s="74" t="s">
        <v>218</v>
      </c>
      <c r="C1248" s="81">
        <f t="shared" si="8"/>
        <v>5200.0015999999996</v>
      </c>
    </row>
    <row r="1249" spans="1:3" x14ac:dyDescent="0.2">
      <c r="A1249" s="87" t="s">
        <v>291</v>
      </c>
      <c r="B1249" s="74" t="s">
        <v>218</v>
      </c>
      <c r="C1249" s="81">
        <f t="shared" si="8"/>
        <v>5200.0015999999996</v>
      </c>
    </row>
    <row r="1250" spans="1:3" x14ac:dyDescent="0.2">
      <c r="A1250" s="87" t="s">
        <v>291</v>
      </c>
      <c r="B1250" s="74" t="s">
        <v>218</v>
      </c>
      <c r="C1250" s="81">
        <f t="shared" si="8"/>
        <v>5200.0015999999996</v>
      </c>
    </row>
    <row r="1251" spans="1:3" x14ac:dyDescent="0.2">
      <c r="A1251" s="87" t="s">
        <v>291</v>
      </c>
      <c r="B1251" s="74" t="s">
        <v>218</v>
      </c>
      <c r="C1251" s="81">
        <f t="shared" si="8"/>
        <v>5200.0015999999996</v>
      </c>
    </row>
    <row r="1252" spans="1:3" x14ac:dyDescent="0.2">
      <c r="A1252" s="87" t="s">
        <v>291</v>
      </c>
      <c r="B1252" s="74" t="s">
        <v>218</v>
      </c>
      <c r="C1252" s="81">
        <f t="shared" si="8"/>
        <v>5200.0015999999996</v>
      </c>
    </row>
    <row r="1253" spans="1:3" x14ac:dyDescent="0.2">
      <c r="A1253" s="87" t="s">
        <v>291</v>
      </c>
      <c r="B1253" s="74" t="s">
        <v>218</v>
      </c>
      <c r="C1253" s="81">
        <f t="shared" si="8"/>
        <v>5200.0015999999996</v>
      </c>
    </row>
    <row r="1254" spans="1:3" x14ac:dyDescent="0.2">
      <c r="A1254" s="87" t="s">
        <v>291</v>
      </c>
      <c r="B1254" s="74" t="s">
        <v>218</v>
      </c>
      <c r="C1254" s="81">
        <f t="shared" si="8"/>
        <v>5200.0015999999996</v>
      </c>
    </row>
    <row r="1255" spans="1:3" x14ac:dyDescent="0.2">
      <c r="A1255" s="87" t="s">
        <v>291</v>
      </c>
      <c r="B1255" s="74" t="s">
        <v>218</v>
      </c>
      <c r="C1255" s="81">
        <f t="shared" si="8"/>
        <v>5200.0015999999996</v>
      </c>
    </row>
    <row r="1256" spans="1:3" x14ac:dyDescent="0.2">
      <c r="A1256" s="87" t="s">
        <v>291</v>
      </c>
      <c r="B1256" s="74" t="s">
        <v>218</v>
      </c>
      <c r="C1256" s="81">
        <f t="shared" si="8"/>
        <v>5200.0015999999996</v>
      </c>
    </row>
    <row r="1257" spans="1:3" x14ac:dyDescent="0.2">
      <c r="A1257" s="87" t="s">
        <v>291</v>
      </c>
      <c r="B1257" s="74" t="s">
        <v>218</v>
      </c>
      <c r="C1257" s="81">
        <f t="shared" si="8"/>
        <v>5200.0015999999996</v>
      </c>
    </row>
    <row r="1258" spans="1:3" x14ac:dyDescent="0.2">
      <c r="A1258" s="87" t="s">
        <v>291</v>
      </c>
      <c r="B1258" s="74" t="s">
        <v>218</v>
      </c>
      <c r="C1258" s="81">
        <f t="shared" si="8"/>
        <v>5200.0015999999996</v>
      </c>
    </row>
    <row r="1259" spans="1:3" x14ac:dyDescent="0.2">
      <c r="A1259" s="87" t="s">
        <v>291</v>
      </c>
      <c r="B1259" s="74" t="s">
        <v>218</v>
      </c>
      <c r="C1259" s="81">
        <f t="shared" si="8"/>
        <v>5200.0015999999996</v>
      </c>
    </row>
    <row r="1260" spans="1:3" x14ac:dyDescent="0.2">
      <c r="A1260" s="87" t="s">
        <v>291</v>
      </c>
      <c r="B1260" s="74" t="s">
        <v>218</v>
      </c>
      <c r="C1260" s="81">
        <f t="shared" si="8"/>
        <v>5200.0015999999996</v>
      </c>
    </row>
    <row r="1261" spans="1:3" x14ac:dyDescent="0.2">
      <c r="A1261" s="87" t="s">
        <v>291</v>
      </c>
      <c r="B1261" s="74" t="s">
        <v>218</v>
      </c>
      <c r="C1261" s="81">
        <f t="shared" si="8"/>
        <v>5200.0015999999996</v>
      </c>
    </row>
    <row r="1262" spans="1:3" x14ac:dyDescent="0.2">
      <c r="A1262" s="87" t="s">
        <v>291</v>
      </c>
      <c r="B1262" s="74" t="s">
        <v>218</v>
      </c>
      <c r="C1262" s="81">
        <f t="shared" si="8"/>
        <v>5200.0015999999996</v>
      </c>
    </row>
    <row r="1263" spans="1:3" x14ac:dyDescent="0.2">
      <c r="A1263" s="87" t="s">
        <v>291</v>
      </c>
      <c r="B1263" s="74" t="s">
        <v>218</v>
      </c>
      <c r="C1263" s="81">
        <f t="shared" si="8"/>
        <v>5200.0015999999996</v>
      </c>
    </row>
    <row r="1264" spans="1:3" ht="38.25" x14ac:dyDescent="0.2">
      <c r="A1264" s="90" t="s">
        <v>291</v>
      </c>
      <c r="B1264" s="74" t="s">
        <v>219</v>
      </c>
      <c r="C1264" s="81">
        <v>900000</v>
      </c>
    </row>
    <row r="1265" spans="1:3" ht="25.5" x14ac:dyDescent="0.2">
      <c r="A1265" s="90" t="s">
        <v>291</v>
      </c>
      <c r="B1265" s="74" t="s">
        <v>220</v>
      </c>
      <c r="C1265" s="81">
        <v>591.6</v>
      </c>
    </row>
    <row r="1266" spans="1:3" ht="25.5" x14ac:dyDescent="0.2">
      <c r="A1266" s="90" t="s">
        <v>291</v>
      </c>
      <c r="B1266" s="74" t="s">
        <v>220</v>
      </c>
      <c r="C1266" s="81">
        <v>591.6</v>
      </c>
    </row>
    <row r="1267" spans="1:3" ht="25.5" x14ac:dyDescent="0.2">
      <c r="A1267" s="90" t="s">
        <v>291</v>
      </c>
      <c r="B1267" s="74" t="s">
        <v>220</v>
      </c>
      <c r="C1267" s="81">
        <v>591.6</v>
      </c>
    </row>
    <row r="1268" spans="1:3" ht="25.5" x14ac:dyDescent="0.2">
      <c r="A1268" s="90" t="s">
        <v>291</v>
      </c>
      <c r="B1268" s="74" t="s">
        <v>220</v>
      </c>
      <c r="C1268" s="81">
        <v>591.6</v>
      </c>
    </row>
    <row r="1269" spans="1:3" ht="25.5" x14ac:dyDescent="0.2">
      <c r="A1269" s="90" t="s">
        <v>291</v>
      </c>
      <c r="B1269" s="74" t="s">
        <v>220</v>
      </c>
      <c r="C1269" s="81">
        <v>591.6</v>
      </c>
    </row>
    <row r="1270" spans="1:3" ht="25.5" x14ac:dyDescent="0.2">
      <c r="A1270" s="90" t="s">
        <v>291</v>
      </c>
      <c r="B1270" s="74" t="s">
        <v>220</v>
      </c>
      <c r="C1270" s="81">
        <v>591.6</v>
      </c>
    </row>
    <row r="1271" spans="1:3" ht="25.5" x14ac:dyDescent="0.2">
      <c r="A1271" s="90" t="s">
        <v>291</v>
      </c>
      <c r="B1271" s="74" t="s">
        <v>220</v>
      </c>
      <c r="C1271" s="81">
        <v>591.6</v>
      </c>
    </row>
    <row r="1272" spans="1:3" ht="25.5" x14ac:dyDescent="0.2">
      <c r="A1272" s="90" t="s">
        <v>291</v>
      </c>
      <c r="B1272" s="74" t="s">
        <v>220</v>
      </c>
      <c r="C1272" s="81">
        <v>591.6</v>
      </c>
    </row>
    <row r="1273" spans="1:3" ht="25.5" x14ac:dyDescent="0.2">
      <c r="A1273" s="90" t="s">
        <v>291</v>
      </c>
      <c r="B1273" s="74" t="s">
        <v>220</v>
      </c>
      <c r="C1273" s="81">
        <v>591.6</v>
      </c>
    </row>
    <row r="1274" spans="1:3" ht="25.5" x14ac:dyDescent="0.2">
      <c r="A1274" s="90" t="s">
        <v>291</v>
      </c>
      <c r="B1274" s="74" t="s">
        <v>220</v>
      </c>
      <c r="C1274" s="81">
        <v>591.6</v>
      </c>
    </row>
    <row r="1275" spans="1:3" ht="25.5" x14ac:dyDescent="0.2">
      <c r="A1275" s="90" t="s">
        <v>291</v>
      </c>
      <c r="B1275" s="74" t="s">
        <v>220</v>
      </c>
      <c r="C1275" s="81">
        <v>591.6</v>
      </c>
    </row>
    <row r="1276" spans="1:3" ht="25.5" x14ac:dyDescent="0.2">
      <c r="A1276" s="90" t="s">
        <v>291</v>
      </c>
      <c r="B1276" s="74" t="s">
        <v>220</v>
      </c>
      <c r="C1276" s="81">
        <v>591.6</v>
      </c>
    </row>
    <row r="1277" spans="1:3" ht="25.5" x14ac:dyDescent="0.2">
      <c r="A1277" s="90" t="s">
        <v>291</v>
      </c>
      <c r="B1277" s="74" t="s">
        <v>220</v>
      </c>
      <c r="C1277" s="81">
        <v>591.6</v>
      </c>
    </row>
    <row r="1278" spans="1:3" ht="25.5" x14ac:dyDescent="0.2">
      <c r="A1278" s="90" t="s">
        <v>291</v>
      </c>
      <c r="B1278" s="74" t="s">
        <v>220</v>
      </c>
      <c r="C1278" s="81">
        <v>591.6</v>
      </c>
    </row>
    <row r="1279" spans="1:3" ht="25.5" x14ac:dyDescent="0.2">
      <c r="A1279" s="90" t="s">
        <v>291</v>
      </c>
      <c r="B1279" s="74" t="s">
        <v>220</v>
      </c>
      <c r="C1279" s="81">
        <v>591.6</v>
      </c>
    </row>
    <row r="1280" spans="1:3" ht="25.5" x14ac:dyDescent="0.2">
      <c r="A1280" s="90" t="s">
        <v>291</v>
      </c>
      <c r="B1280" s="74" t="s">
        <v>220</v>
      </c>
      <c r="C1280" s="81">
        <v>591.6</v>
      </c>
    </row>
    <row r="1281" spans="1:3" ht="25.5" x14ac:dyDescent="0.2">
      <c r="A1281" s="90" t="s">
        <v>291</v>
      </c>
      <c r="B1281" s="74" t="s">
        <v>220</v>
      </c>
      <c r="C1281" s="81">
        <v>591.6</v>
      </c>
    </row>
    <row r="1282" spans="1:3" ht="25.5" x14ac:dyDescent="0.2">
      <c r="A1282" s="90" t="s">
        <v>291</v>
      </c>
      <c r="B1282" s="74" t="s">
        <v>220</v>
      </c>
      <c r="C1282" s="81">
        <v>591.6</v>
      </c>
    </row>
    <row r="1283" spans="1:3" ht="25.5" x14ac:dyDescent="0.2">
      <c r="A1283" s="90" t="s">
        <v>291</v>
      </c>
      <c r="B1283" s="74" t="s">
        <v>220</v>
      </c>
      <c r="C1283" s="81">
        <v>591.6</v>
      </c>
    </row>
    <row r="1284" spans="1:3" ht="25.5" x14ac:dyDescent="0.2">
      <c r="A1284" s="90" t="s">
        <v>291</v>
      </c>
      <c r="B1284" s="74" t="s">
        <v>220</v>
      </c>
      <c r="C1284" s="81">
        <v>591.6</v>
      </c>
    </row>
    <row r="1285" spans="1:3" ht="25.5" x14ac:dyDescent="0.2">
      <c r="A1285" s="90" t="s">
        <v>291</v>
      </c>
      <c r="B1285" s="74" t="s">
        <v>220</v>
      </c>
      <c r="C1285" s="81">
        <v>591.6</v>
      </c>
    </row>
    <row r="1286" spans="1:3" ht="25.5" x14ac:dyDescent="0.2">
      <c r="A1286" s="90" t="s">
        <v>291</v>
      </c>
      <c r="B1286" s="74" t="s">
        <v>220</v>
      </c>
      <c r="C1286" s="81">
        <v>591.6</v>
      </c>
    </row>
    <row r="1287" spans="1:3" ht="25.5" x14ac:dyDescent="0.2">
      <c r="A1287" s="90" t="s">
        <v>291</v>
      </c>
      <c r="B1287" s="74" t="s">
        <v>220</v>
      </c>
      <c r="C1287" s="81">
        <v>591.6</v>
      </c>
    </row>
    <row r="1288" spans="1:3" ht="25.5" x14ac:dyDescent="0.2">
      <c r="A1288" s="90" t="s">
        <v>291</v>
      </c>
      <c r="B1288" s="74" t="s">
        <v>220</v>
      </c>
      <c r="C1288" s="81">
        <v>591.6</v>
      </c>
    </row>
    <row r="1289" spans="1:3" ht="25.5" x14ac:dyDescent="0.2">
      <c r="A1289" s="90" t="s">
        <v>291</v>
      </c>
      <c r="B1289" s="74" t="s">
        <v>220</v>
      </c>
      <c r="C1289" s="81">
        <v>591.6</v>
      </c>
    </row>
    <row r="1290" spans="1:3" ht="25.5" x14ac:dyDescent="0.2">
      <c r="A1290" s="90" t="s">
        <v>291</v>
      </c>
      <c r="B1290" s="74" t="s">
        <v>220</v>
      </c>
      <c r="C1290" s="81">
        <v>591.6</v>
      </c>
    </row>
    <row r="1291" spans="1:3" ht="25.5" x14ac:dyDescent="0.2">
      <c r="A1291" s="90" t="s">
        <v>291</v>
      </c>
      <c r="B1291" s="74" t="s">
        <v>220</v>
      </c>
      <c r="C1291" s="81">
        <v>591.6</v>
      </c>
    </row>
    <row r="1292" spans="1:3" ht="25.5" x14ac:dyDescent="0.2">
      <c r="A1292" s="90" t="s">
        <v>291</v>
      </c>
      <c r="B1292" s="74" t="s">
        <v>220</v>
      </c>
      <c r="C1292" s="81">
        <v>591.6</v>
      </c>
    </row>
    <row r="1293" spans="1:3" ht="25.5" x14ac:dyDescent="0.2">
      <c r="A1293" s="90" t="s">
        <v>291</v>
      </c>
      <c r="B1293" s="74" t="s">
        <v>220</v>
      </c>
      <c r="C1293" s="81">
        <v>591.6</v>
      </c>
    </row>
    <row r="1294" spans="1:3" ht="25.5" x14ac:dyDescent="0.2">
      <c r="A1294" s="90" t="s">
        <v>291</v>
      </c>
      <c r="B1294" s="74" t="s">
        <v>220</v>
      </c>
      <c r="C1294" s="81">
        <v>591.6</v>
      </c>
    </row>
    <row r="1295" spans="1:3" ht="25.5" x14ac:dyDescent="0.2">
      <c r="A1295" s="90" t="s">
        <v>291</v>
      </c>
      <c r="B1295" s="74" t="s">
        <v>220</v>
      </c>
      <c r="C1295" s="81">
        <v>591.6</v>
      </c>
    </row>
    <row r="1296" spans="1:3" ht="25.5" x14ac:dyDescent="0.2">
      <c r="A1296" s="90" t="s">
        <v>291</v>
      </c>
      <c r="B1296" s="74" t="s">
        <v>220</v>
      </c>
      <c r="C1296" s="81">
        <v>591.6</v>
      </c>
    </row>
    <row r="1297" spans="1:3" ht="25.5" x14ac:dyDescent="0.2">
      <c r="A1297" s="90" t="s">
        <v>291</v>
      </c>
      <c r="B1297" s="74" t="s">
        <v>220</v>
      </c>
      <c r="C1297" s="81">
        <v>591.6</v>
      </c>
    </row>
    <row r="1298" spans="1:3" ht="25.5" x14ac:dyDescent="0.2">
      <c r="A1298" s="90" t="s">
        <v>291</v>
      </c>
      <c r="B1298" s="74" t="s">
        <v>220</v>
      </c>
      <c r="C1298" s="81">
        <v>591.6</v>
      </c>
    </row>
    <row r="1299" spans="1:3" ht="25.5" x14ac:dyDescent="0.2">
      <c r="A1299" s="90" t="s">
        <v>291</v>
      </c>
      <c r="B1299" s="74" t="s">
        <v>220</v>
      </c>
      <c r="C1299" s="81">
        <v>591.6</v>
      </c>
    </row>
    <row r="1300" spans="1:3" ht="25.5" x14ac:dyDescent="0.2">
      <c r="A1300" s="90" t="s">
        <v>291</v>
      </c>
      <c r="B1300" s="74" t="s">
        <v>220</v>
      </c>
      <c r="C1300" s="81">
        <v>591.6</v>
      </c>
    </row>
    <row r="1301" spans="1:3" ht="25.5" x14ac:dyDescent="0.2">
      <c r="A1301" s="90" t="s">
        <v>291</v>
      </c>
      <c r="B1301" s="74" t="s">
        <v>220</v>
      </c>
      <c r="C1301" s="81">
        <v>591.6</v>
      </c>
    </row>
    <row r="1302" spans="1:3" ht="25.5" x14ac:dyDescent="0.2">
      <c r="A1302" s="90" t="s">
        <v>291</v>
      </c>
      <c r="B1302" s="74" t="s">
        <v>220</v>
      </c>
      <c r="C1302" s="81">
        <v>591.6</v>
      </c>
    </row>
    <row r="1303" spans="1:3" ht="25.5" x14ac:dyDescent="0.2">
      <c r="A1303" s="90" t="s">
        <v>291</v>
      </c>
      <c r="B1303" s="74" t="s">
        <v>220</v>
      </c>
      <c r="C1303" s="81">
        <v>591.6</v>
      </c>
    </row>
    <row r="1304" spans="1:3" ht="25.5" x14ac:dyDescent="0.2">
      <c r="A1304" s="90" t="s">
        <v>291</v>
      </c>
      <c r="B1304" s="74" t="s">
        <v>220</v>
      </c>
      <c r="C1304" s="81">
        <v>591.6</v>
      </c>
    </row>
    <row r="1305" spans="1:3" ht="25.5" x14ac:dyDescent="0.2">
      <c r="A1305" s="90" t="s">
        <v>291</v>
      </c>
      <c r="B1305" s="74" t="s">
        <v>220</v>
      </c>
      <c r="C1305" s="81">
        <v>591.6</v>
      </c>
    </row>
    <row r="1306" spans="1:3" ht="25.5" x14ac:dyDescent="0.2">
      <c r="A1306" s="90" t="s">
        <v>291</v>
      </c>
      <c r="B1306" s="74" t="s">
        <v>220</v>
      </c>
      <c r="C1306" s="81">
        <v>591.6</v>
      </c>
    </row>
    <row r="1307" spans="1:3" ht="25.5" x14ac:dyDescent="0.2">
      <c r="A1307" s="90" t="s">
        <v>291</v>
      </c>
      <c r="B1307" s="74" t="s">
        <v>220</v>
      </c>
      <c r="C1307" s="81">
        <v>591.6</v>
      </c>
    </row>
    <row r="1308" spans="1:3" ht="25.5" x14ac:dyDescent="0.2">
      <c r="A1308" s="90" t="s">
        <v>291</v>
      </c>
      <c r="B1308" s="74" t="s">
        <v>220</v>
      </c>
      <c r="C1308" s="81">
        <v>591.6</v>
      </c>
    </row>
    <row r="1309" spans="1:3" ht="25.5" x14ac:dyDescent="0.2">
      <c r="A1309" s="90" t="s">
        <v>291</v>
      </c>
      <c r="B1309" s="74" t="s">
        <v>220</v>
      </c>
      <c r="C1309" s="81">
        <v>591.6</v>
      </c>
    </row>
    <row r="1310" spans="1:3" ht="25.5" x14ac:dyDescent="0.2">
      <c r="A1310" s="90" t="s">
        <v>291</v>
      </c>
      <c r="B1310" s="74" t="s">
        <v>220</v>
      </c>
      <c r="C1310" s="81">
        <v>591.6</v>
      </c>
    </row>
    <row r="1311" spans="1:3" ht="25.5" x14ac:dyDescent="0.2">
      <c r="A1311" s="90" t="s">
        <v>291</v>
      </c>
      <c r="B1311" s="74" t="s">
        <v>220</v>
      </c>
      <c r="C1311" s="81">
        <v>591.6</v>
      </c>
    </row>
    <row r="1312" spans="1:3" ht="25.5" x14ac:dyDescent="0.2">
      <c r="A1312" s="90" t="s">
        <v>291</v>
      </c>
      <c r="B1312" s="74" t="s">
        <v>220</v>
      </c>
      <c r="C1312" s="81">
        <v>591.6</v>
      </c>
    </row>
    <row r="1313" spans="1:3" ht="25.5" x14ac:dyDescent="0.2">
      <c r="A1313" s="90" t="s">
        <v>291</v>
      </c>
      <c r="B1313" s="74" t="s">
        <v>220</v>
      </c>
      <c r="C1313" s="81">
        <v>591.6</v>
      </c>
    </row>
    <row r="1314" spans="1:3" ht="25.5" x14ac:dyDescent="0.2">
      <c r="A1314" s="90" t="s">
        <v>291</v>
      </c>
      <c r="B1314" s="74" t="s">
        <v>220</v>
      </c>
      <c r="C1314" s="81">
        <v>591.6</v>
      </c>
    </row>
    <row r="1315" spans="1:3" ht="25.5" x14ac:dyDescent="0.2">
      <c r="A1315" s="90" t="s">
        <v>291</v>
      </c>
      <c r="B1315" s="74" t="s">
        <v>220</v>
      </c>
      <c r="C1315" s="81">
        <v>591.6</v>
      </c>
    </row>
    <row r="1316" spans="1:3" ht="25.5" x14ac:dyDescent="0.2">
      <c r="A1316" s="90" t="s">
        <v>291</v>
      </c>
      <c r="B1316" s="74" t="s">
        <v>220</v>
      </c>
      <c r="C1316" s="81">
        <v>591.6</v>
      </c>
    </row>
    <row r="1317" spans="1:3" ht="25.5" x14ac:dyDescent="0.2">
      <c r="A1317" s="90" t="s">
        <v>291</v>
      </c>
      <c r="B1317" s="74" t="s">
        <v>220</v>
      </c>
      <c r="C1317" s="81">
        <v>591.6</v>
      </c>
    </row>
    <row r="1318" spans="1:3" ht="25.5" x14ac:dyDescent="0.2">
      <c r="A1318" s="90" t="s">
        <v>291</v>
      </c>
      <c r="B1318" s="74" t="s">
        <v>220</v>
      </c>
      <c r="C1318" s="81">
        <v>591.6</v>
      </c>
    </row>
    <row r="1319" spans="1:3" ht="25.5" x14ac:dyDescent="0.2">
      <c r="A1319" s="90" t="s">
        <v>291</v>
      </c>
      <c r="B1319" s="74" t="s">
        <v>220</v>
      </c>
      <c r="C1319" s="81">
        <v>591.6</v>
      </c>
    </row>
    <row r="1320" spans="1:3" ht="25.5" x14ac:dyDescent="0.2">
      <c r="A1320" s="90" t="s">
        <v>291</v>
      </c>
      <c r="B1320" s="74" t="s">
        <v>220</v>
      </c>
      <c r="C1320" s="81">
        <v>591.6</v>
      </c>
    </row>
    <row r="1321" spans="1:3" ht="25.5" x14ac:dyDescent="0.2">
      <c r="A1321" s="90" t="s">
        <v>291</v>
      </c>
      <c r="B1321" s="74" t="s">
        <v>220</v>
      </c>
      <c r="C1321" s="81">
        <v>591.6</v>
      </c>
    </row>
    <row r="1322" spans="1:3" ht="25.5" x14ac:dyDescent="0.2">
      <c r="A1322" s="90" t="s">
        <v>291</v>
      </c>
      <c r="B1322" s="74" t="s">
        <v>220</v>
      </c>
      <c r="C1322" s="81">
        <v>591.6</v>
      </c>
    </row>
    <row r="1323" spans="1:3" ht="25.5" x14ac:dyDescent="0.2">
      <c r="A1323" s="90" t="s">
        <v>291</v>
      </c>
      <c r="B1323" s="74" t="s">
        <v>220</v>
      </c>
      <c r="C1323" s="81">
        <v>591.6</v>
      </c>
    </row>
    <row r="1324" spans="1:3" ht="25.5" x14ac:dyDescent="0.2">
      <c r="A1324" s="90" t="s">
        <v>291</v>
      </c>
      <c r="B1324" s="74" t="s">
        <v>220</v>
      </c>
      <c r="C1324" s="81">
        <v>591.6</v>
      </c>
    </row>
    <row r="1325" spans="1:3" ht="25.5" x14ac:dyDescent="0.2">
      <c r="A1325" s="90" t="s">
        <v>291</v>
      </c>
      <c r="B1325" s="74" t="s">
        <v>220</v>
      </c>
      <c r="C1325" s="81">
        <v>591.6</v>
      </c>
    </row>
    <row r="1326" spans="1:3" ht="25.5" x14ac:dyDescent="0.2">
      <c r="A1326" s="90" t="s">
        <v>291</v>
      </c>
      <c r="B1326" s="74" t="s">
        <v>220</v>
      </c>
      <c r="C1326" s="81">
        <v>591.6</v>
      </c>
    </row>
    <row r="1327" spans="1:3" ht="25.5" x14ac:dyDescent="0.2">
      <c r="A1327" s="90" t="s">
        <v>291</v>
      </c>
      <c r="B1327" s="74" t="s">
        <v>220</v>
      </c>
      <c r="C1327" s="81">
        <v>591.6</v>
      </c>
    </row>
    <row r="1328" spans="1:3" ht="25.5" x14ac:dyDescent="0.2">
      <c r="A1328" s="90" t="s">
        <v>291</v>
      </c>
      <c r="B1328" s="74" t="s">
        <v>220</v>
      </c>
      <c r="C1328" s="81">
        <v>591.6</v>
      </c>
    </row>
    <row r="1329" spans="1:3" ht="25.5" x14ac:dyDescent="0.2">
      <c r="A1329" s="90" t="s">
        <v>291</v>
      </c>
      <c r="B1329" s="74" t="s">
        <v>220</v>
      </c>
      <c r="C1329" s="81">
        <v>591.6</v>
      </c>
    </row>
    <row r="1330" spans="1:3" ht="25.5" x14ac:dyDescent="0.2">
      <c r="A1330" s="90" t="s">
        <v>291</v>
      </c>
      <c r="B1330" s="74" t="s">
        <v>220</v>
      </c>
      <c r="C1330" s="81">
        <v>591.6</v>
      </c>
    </row>
    <row r="1331" spans="1:3" ht="25.5" x14ac:dyDescent="0.2">
      <c r="A1331" s="90" t="s">
        <v>291</v>
      </c>
      <c r="B1331" s="74" t="s">
        <v>220</v>
      </c>
      <c r="C1331" s="81">
        <v>591.6</v>
      </c>
    </row>
    <row r="1332" spans="1:3" ht="25.5" x14ac:dyDescent="0.2">
      <c r="A1332" s="90" t="s">
        <v>291</v>
      </c>
      <c r="B1332" s="74" t="s">
        <v>220</v>
      </c>
      <c r="C1332" s="81">
        <v>591.6</v>
      </c>
    </row>
    <row r="1333" spans="1:3" ht="25.5" x14ac:dyDescent="0.2">
      <c r="A1333" s="90" t="s">
        <v>291</v>
      </c>
      <c r="B1333" s="74" t="s">
        <v>220</v>
      </c>
      <c r="C1333" s="81">
        <v>591.6</v>
      </c>
    </row>
    <row r="1334" spans="1:3" ht="25.5" x14ac:dyDescent="0.2">
      <c r="A1334" s="90" t="s">
        <v>291</v>
      </c>
      <c r="B1334" s="74" t="s">
        <v>220</v>
      </c>
      <c r="C1334" s="81">
        <v>591.6</v>
      </c>
    </row>
    <row r="1335" spans="1:3" ht="25.5" x14ac:dyDescent="0.2">
      <c r="A1335" s="90" t="s">
        <v>291</v>
      </c>
      <c r="B1335" s="74" t="s">
        <v>220</v>
      </c>
      <c r="C1335" s="81">
        <v>591.6</v>
      </c>
    </row>
    <row r="1336" spans="1:3" ht="25.5" x14ac:dyDescent="0.2">
      <c r="A1336" s="90" t="s">
        <v>291</v>
      </c>
      <c r="B1336" s="74" t="s">
        <v>220</v>
      </c>
      <c r="C1336" s="81">
        <v>591.6</v>
      </c>
    </row>
    <row r="1337" spans="1:3" ht="25.5" x14ac:dyDescent="0.2">
      <c r="A1337" s="90" t="s">
        <v>291</v>
      </c>
      <c r="B1337" s="74" t="s">
        <v>220</v>
      </c>
      <c r="C1337" s="81">
        <v>591.6</v>
      </c>
    </row>
    <row r="1338" spans="1:3" ht="25.5" x14ac:dyDescent="0.2">
      <c r="A1338" s="90" t="s">
        <v>291</v>
      </c>
      <c r="B1338" s="74" t="s">
        <v>220</v>
      </c>
      <c r="C1338" s="81">
        <v>591.6</v>
      </c>
    </row>
    <row r="1339" spans="1:3" ht="25.5" x14ac:dyDescent="0.2">
      <c r="A1339" s="90" t="s">
        <v>291</v>
      </c>
      <c r="B1339" s="74" t="s">
        <v>220</v>
      </c>
      <c r="C1339" s="81">
        <v>591.6</v>
      </c>
    </row>
    <row r="1340" spans="1:3" ht="25.5" x14ac:dyDescent="0.2">
      <c r="A1340" s="90" t="s">
        <v>291</v>
      </c>
      <c r="B1340" s="74" t="s">
        <v>220</v>
      </c>
      <c r="C1340" s="81">
        <v>591.6</v>
      </c>
    </row>
    <row r="1341" spans="1:3" ht="25.5" x14ac:dyDescent="0.2">
      <c r="A1341" s="90" t="s">
        <v>291</v>
      </c>
      <c r="B1341" s="74" t="s">
        <v>220</v>
      </c>
      <c r="C1341" s="81">
        <v>591.6</v>
      </c>
    </row>
    <row r="1342" spans="1:3" ht="25.5" x14ac:dyDescent="0.2">
      <c r="A1342" s="90" t="s">
        <v>291</v>
      </c>
      <c r="B1342" s="74" t="s">
        <v>220</v>
      </c>
      <c r="C1342" s="81">
        <v>591.6</v>
      </c>
    </row>
    <row r="1343" spans="1:3" ht="25.5" x14ac:dyDescent="0.2">
      <c r="A1343" s="90" t="s">
        <v>291</v>
      </c>
      <c r="B1343" s="74" t="s">
        <v>220</v>
      </c>
      <c r="C1343" s="81">
        <v>591.6</v>
      </c>
    </row>
    <row r="1344" spans="1:3" ht="25.5" x14ac:dyDescent="0.2">
      <c r="A1344" s="90" t="s">
        <v>291</v>
      </c>
      <c r="B1344" s="74" t="s">
        <v>220</v>
      </c>
      <c r="C1344" s="81">
        <v>591.6</v>
      </c>
    </row>
    <row r="1345" spans="1:3" ht="25.5" x14ac:dyDescent="0.2">
      <c r="A1345" s="90" t="s">
        <v>291</v>
      </c>
      <c r="B1345" s="74" t="s">
        <v>220</v>
      </c>
      <c r="C1345" s="81">
        <v>591.6</v>
      </c>
    </row>
    <row r="1346" spans="1:3" ht="25.5" x14ac:dyDescent="0.2">
      <c r="A1346" s="90" t="s">
        <v>291</v>
      </c>
      <c r="B1346" s="74" t="s">
        <v>220</v>
      </c>
      <c r="C1346" s="81">
        <v>591.6</v>
      </c>
    </row>
    <row r="1347" spans="1:3" ht="25.5" x14ac:dyDescent="0.2">
      <c r="A1347" s="90" t="s">
        <v>291</v>
      </c>
      <c r="B1347" s="74" t="s">
        <v>220</v>
      </c>
      <c r="C1347" s="81">
        <v>591.6</v>
      </c>
    </row>
    <row r="1348" spans="1:3" ht="25.5" x14ac:dyDescent="0.2">
      <c r="A1348" s="90" t="s">
        <v>291</v>
      </c>
      <c r="B1348" s="74" t="s">
        <v>220</v>
      </c>
      <c r="C1348" s="81">
        <v>591.6</v>
      </c>
    </row>
    <row r="1349" spans="1:3" ht="25.5" x14ac:dyDescent="0.2">
      <c r="A1349" s="90" t="s">
        <v>291</v>
      </c>
      <c r="B1349" s="74" t="s">
        <v>220</v>
      </c>
      <c r="C1349" s="81">
        <v>591.6</v>
      </c>
    </row>
    <row r="1350" spans="1:3" ht="25.5" x14ac:dyDescent="0.2">
      <c r="A1350" s="90" t="s">
        <v>291</v>
      </c>
      <c r="B1350" s="74" t="s">
        <v>220</v>
      </c>
      <c r="C1350" s="81">
        <v>591.6</v>
      </c>
    </row>
    <row r="1351" spans="1:3" ht="25.5" x14ac:dyDescent="0.2">
      <c r="A1351" s="90" t="s">
        <v>291</v>
      </c>
      <c r="B1351" s="74" t="s">
        <v>220</v>
      </c>
      <c r="C1351" s="81">
        <v>591.6</v>
      </c>
    </row>
    <row r="1352" spans="1:3" ht="25.5" x14ac:dyDescent="0.2">
      <c r="A1352" s="90" t="s">
        <v>291</v>
      </c>
      <c r="B1352" s="74" t="s">
        <v>220</v>
      </c>
      <c r="C1352" s="81">
        <v>591.6</v>
      </c>
    </row>
    <row r="1353" spans="1:3" ht="25.5" x14ac:dyDescent="0.2">
      <c r="A1353" s="90" t="s">
        <v>291</v>
      </c>
      <c r="B1353" s="74" t="s">
        <v>220</v>
      </c>
      <c r="C1353" s="81">
        <v>591.6</v>
      </c>
    </row>
    <row r="1354" spans="1:3" ht="25.5" x14ac:dyDescent="0.2">
      <c r="A1354" s="90" t="s">
        <v>291</v>
      </c>
      <c r="B1354" s="74" t="s">
        <v>220</v>
      </c>
      <c r="C1354" s="81">
        <v>591.6</v>
      </c>
    </row>
    <row r="1355" spans="1:3" ht="25.5" x14ac:dyDescent="0.2">
      <c r="A1355" s="90" t="s">
        <v>291</v>
      </c>
      <c r="B1355" s="74" t="s">
        <v>220</v>
      </c>
      <c r="C1355" s="81">
        <v>591.6</v>
      </c>
    </row>
    <row r="1356" spans="1:3" ht="25.5" x14ac:dyDescent="0.2">
      <c r="A1356" s="90" t="s">
        <v>291</v>
      </c>
      <c r="B1356" s="74" t="s">
        <v>220</v>
      </c>
      <c r="C1356" s="81">
        <v>591.6</v>
      </c>
    </row>
    <row r="1357" spans="1:3" ht="25.5" x14ac:dyDescent="0.2">
      <c r="A1357" s="90" t="s">
        <v>291</v>
      </c>
      <c r="B1357" s="74" t="s">
        <v>220</v>
      </c>
      <c r="C1357" s="81">
        <v>591.6</v>
      </c>
    </row>
    <row r="1358" spans="1:3" ht="25.5" x14ac:dyDescent="0.2">
      <c r="A1358" s="90" t="s">
        <v>291</v>
      </c>
      <c r="B1358" s="74" t="s">
        <v>220</v>
      </c>
      <c r="C1358" s="81">
        <v>591.6</v>
      </c>
    </row>
    <row r="1359" spans="1:3" ht="25.5" x14ac:dyDescent="0.2">
      <c r="A1359" s="90" t="s">
        <v>291</v>
      </c>
      <c r="B1359" s="74" t="s">
        <v>220</v>
      </c>
      <c r="C1359" s="81">
        <v>591.6</v>
      </c>
    </row>
    <row r="1360" spans="1:3" ht="25.5" x14ac:dyDescent="0.2">
      <c r="A1360" s="90" t="s">
        <v>291</v>
      </c>
      <c r="B1360" s="74" t="s">
        <v>220</v>
      </c>
      <c r="C1360" s="81">
        <v>591.6</v>
      </c>
    </row>
    <row r="1361" spans="1:3" ht="25.5" x14ac:dyDescent="0.2">
      <c r="A1361" s="90" t="s">
        <v>291</v>
      </c>
      <c r="B1361" s="74" t="s">
        <v>220</v>
      </c>
      <c r="C1361" s="81">
        <v>591.6</v>
      </c>
    </row>
    <row r="1362" spans="1:3" ht="25.5" x14ac:dyDescent="0.2">
      <c r="A1362" s="90" t="s">
        <v>291</v>
      </c>
      <c r="B1362" s="74" t="s">
        <v>220</v>
      </c>
      <c r="C1362" s="81">
        <v>591.6</v>
      </c>
    </row>
    <row r="1363" spans="1:3" ht="25.5" x14ac:dyDescent="0.2">
      <c r="A1363" s="90" t="s">
        <v>291</v>
      </c>
      <c r="B1363" s="74" t="s">
        <v>220</v>
      </c>
      <c r="C1363" s="81">
        <v>591.6</v>
      </c>
    </row>
    <row r="1364" spans="1:3" ht="25.5" x14ac:dyDescent="0.2">
      <c r="A1364" s="90" t="s">
        <v>291</v>
      </c>
      <c r="B1364" s="74" t="s">
        <v>220</v>
      </c>
      <c r="C1364" s="81">
        <v>591.6</v>
      </c>
    </row>
    <row r="1365" spans="1:3" ht="25.5" x14ac:dyDescent="0.2">
      <c r="A1365" s="90" t="s">
        <v>291</v>
      </c>
      <c r="B1365" s="74" t="s">
        <v>220</v>
      </c>
      <c r="C1365" s="81">
        <v>591.6</v>
      </c>
    </row>
    <row r="1366" spans="1:3" ht="25.5" x14ac:dyDescent="0.2">
      <c r="A1366" s="90" t="s">
        <v>291</v>
      </c>
      <c r="B1366" s="74" t="s">
        <v>220</v>
      </c>
      <c r="C1366" s="81">
        <v>591.6</v>
      </c>
    </row>
    <row r="1367" spans="1:3" ht="25.5" x14ac:dyDescent="0.2">
      <c r="A1367" s="90" t="s">
        <v>291</v>
      </c>
      <c r="B1367" s="74" t="s">
        <v>220</v>
      </c>
      <c r="C1367" s="81">
        <v>591.6</v>
      </c>
    </row>
    <row r="1368" spans="1:3" ht="25.5" x14ac:dyDescent="0.2">
      <c r="A1368" s="90" t="s">
        <v>291</v>
      </c>
      <c r="B1368" s="74" t="s">
        <v>220</v>
      </c>
      <c r="C1368" s="81">
        <v>591.6</v>
      </c>
    </row>
    <row r="1369" spans="1:3" ht="25.5" x14ac:dyDescent="0.2">
      <c r="A1369" s="90" t="s">
        <v>291</v>
      </c>
      <c r="B1369" s="74" t="s">
        <v>220</v>
      </c>
      <c r="C1369" s="81">
        <v>591.6</v>
      </c>
    </row>
    <row r="1370" spans="1:3" ht="25.5" x14ac:dyDescent="0.2">
      <c r="A1370" s="90" t="s">
        <v>291</v>
      </c>
      <c r="B1370" s="74" t="s">
        <v>220</v>
      </c>
      <c r="C1370" s="81">
        <v>591.6</v>
      </c>
    </row>
    <row r="1371" spans="1:3" ht="25.5" x14ac:dyDescent="0.2">
      <c r="A1371" s="90" t="s">
        <v>291</v>
      </c>
      <c r="B1371" s="74" t="s">
        <v>220</v>
      </c>
      <c r="C1371" s="81">
        <v>591.6</v>
      </c>
    </row>
    <row r="1372" spans="1:3" ht="25.5" x14ac:dyDescent="0.2">
      <c r="A1372" s="90" t="s">
        <v>291</v>
      </c>
      <c r="B1372" s="74" t="s">
        <v>220</v>
      </c>
      <c r="C1372" s="81">
        <v>591.6</v>
      </c>
    </row>
    <row r="1373" spans="1:3" ht="25.5" x14ac:dyDescent="0.2">
      <c r="A1373" s="90" t="s">
        <v>291</v>
      </c>
      <c r="B1373" s="74" t="s">
        <v>220</v>
      </c>
      <c r="C1373" s="81">
        <v>591.6</v>
      </c>
    </row>
    <row r="1374" spans="1:3" ht="25.5" x14ac:dyDescent="0.2">
      <c r="A1374" s="90" t="s">
        <v>291</v>
      </c>
      <c r="B1374" s="74" t="s">
        <v>220</v>
      </c>
      <c r="C1374" s="81">
        <v>591.6</v>
      </c>
    </row>
    <row r="1375" spans="1:3" ht="25.5" x14ac:dyDescent="0.2">
      <c r="A1375" s="90" t="s">
        <v>291</v>
      </c>
      <c r="B1375" s="74" t="s">
        <v>220</v>
      </c>
      <c r="C1375" s="81">
        <v>591.6</v>
      </c>
    </row>
    <row r="1376" spans="1:3" ht="25.5" x14ac:dyDescent="0.2">
      <c r="A1376" s="90" t="s">
        <v>291</v>
      </c>
      <c r="B1376" s="74" t="s">
        <v>220</v>
      </c>
      <c r="C1376" s="81">
        <v>591.6</v>
      </c>
    </row>
    <row r="1377" spans="1:3" ht="25.5" x14ac:dyDescent="0.2">
      <c r="A1377" s="90" t="s">
        <v>291</v>
      </c>
      <c r="B1377" s="74" t="s">
        <v>220</v>
      </c>
      <c r="C1377" s="81">
        <v>591.6</v>
      </c>
    </row>
    <row r="1378" spans="1:3" ht="25.5" x14ac:dyDescent="0.2">
      <c r="A1378" s="90" t="s">
        <v>291</v>
      </c>
      <c r="B1378" s="74" t="s">
        <v>220</v>
      </c>
      <c r="C1378" s="81">
        <v>591.6</v>
      </c>
    </row>
    <row r="1379" spans="1:3" ht="25.5" x14ac:dyDescent="0.2">
      <c r="A1379" s="90" t="s">
        <v>291</v>
      </c>
      <c r="B1379" s="74" t="s">
        <v>220</v>
      </c>
      <c r="C1379" s="81">
        <v>591.6</v>
      </c>
    </row>
    <row r="1380" spans="1:3" ht="25.5" x14ac:dyDescent="0.2">
      <c r="A1380" s="90" t="s">
        <v>291</v>
      </c>
      <c r="B1380" s="74" t="s">
        <v>220</v>
      </c>
      <c r="C1380" s="81">
        <v>591.6</v>
      </c>
    </row>
    <row r="1381" spans="1:3" ht="25.5" x14ac:dyDescent="0.2">
      <c r="A1381" s="90" t="s">
        <v>291</v>
      </c>
      <c r="B1381" s="74" t="s">
        <v>220</v>
      </c>
      <c r="C1381" s="81">
        <v>591.6</v>
      </c>
    </row>
    <row r="1382" spans="1:3" ht="25.5" x14ac:dyDescent="0.2">
      <c r="A1382" s="90" t="s">
        <v>291</v>
      </c>
      <c r="B1382" s="74" t="s">
        <v>220</v>
      </c>
      <c r="C1382" s="81">
        <v>591.6</v>
      </c>
    </row>
    <row r="1383" spans="1:3" ht="25.5" x14ac:dyDescent="0.2">
      <c r="A1383" s="90" t="s">
        <v>291</v>
      </c>
      <c r="B1383" s="74" t="s">
        <v>220</v>
      </c>
      <c r="C1383" s="81">
        <v>591.6</v>
      </c>
    </row>
    <row r="1384" spans="1:3" ht="25.5" x14ac:dyDescent="0.2">
      <c r="A1384" s="90" t="s">
        <v>291</v>
      </c>
      <c r="B1384" s="74" t="s">
        <v>220</v>
      </c>
      <c r="C1384" s="81">
        <v>591.6</v>
      </c>
    </row>
    <row r="1385" spans="1:3" ht="25.5" x14ac:dyDescent="0.2">
      <c r="A1385" s="90" t="s">
        <v>291</v>
      </c>
      <c r="B1385" s="74" t="s">
        <v>220</v>
      </c>
      <c r="C1385" s="81">
        <v>591.6</v>
      </c>
    </row>
    <row r="1386" spans="1:3" ht="25.5" x14ac:dyDescent="0.2">
      <c r="A1386" s="90" t="s">
        <v>291</v>
      </c>
      <c r="B1386" s="74" t="s">
        <v>220</v>
      </c>
      <c r="C1386" s="81">
        <v>591.6</v>
      </c>
    </row>
    <row r="1387" spans="1:3" ht="25.5" x14ac:dyDescent="0.2">
      <c r="A1387" s="90" t="s">
        <v>291</v>
      </c>
      <c r="B1387" s="74" t="s">
        <v>220</v>
      </c>
      <c r="C1387" s="81">
        <v>591.6</v>
      </c>
    </row>
    <row r="1388" spans="1:3" ht="25.5" x14ac:dyDescent="0.2">
      <c r="A1388" s="90" t="s">
        <v>291</v>
      </c>
      <c r="B1388" s="74" t="s">
        <v>220</v>
      </c>
      <c r="C1388" s="81">
        <v>591.6</v>
      </c>
    </row>
    <row r="1389" spans="1:3" ht="25.5" x14ac:dyDescent="0.2">
      <c r="A1389" s="90" t="s">
        <v>291</v>
      </c>
      <c r="B1389" s="74" t="s">
        <v>220</v>
      </c>
      <c r="C1389" s="81">
        <v>591.6</v>
      </c>
    </row>
    <row r="1390" spans="1:3" ht="25.5" x14ac:dyDescent="0.2">
      <c r="A1390" s="90" t="s">
        <v>291</v>
      </c>
      <c r="B1390" s="74" t="s">
        <v>220</v>
      </c>
      <c r="C1390" s="81">
        <v>591.6</v>
      </c>
    </row>
    <row r="1391" spans="1:3" ht="25.5" x14ac:dyDescent="0.2">
      <c r="A1391" s="90" t="s">
        <v>291</v>
      </c>
      <c r="B1391" s="74" t="s">
        <v>220</v>
      </c>
      <c r="C1391" s="81">
        <v>591.6</v>
      </c>
    </row>
    <row r="1392" spans="1:3" ht="25.5" x14ac:dyDescent="0.2">
      <c r="A1392" s="90" t="s">
        <v>291</v>
      </c>
      <c r="B1392" s="74" t="s">
        <v>220</v>
      </c>
      <c r="C1392" s="81">
        <v>591.6</v>
      </c>
    </row>
    <row r="1393" spans="1:3" ht="25.5" x14ac:dyDescent="0.2">
      <c r="A1393" s="90" t="s">
        <v>291</v>
      </c>
      <c r="B1393" s="74" t="s">
        <v>220</v>
      </c>
      <c r="C1393" s="81">
        <v>591.6</v>
      </c>
    </row>
    <row r="1394" spans="1:3" ht="25.5" x14ac:dyDescent="0.2">
      <c r="A1394" s="90" t="s">
        <v>291</v>
      </c>
      <c r="B1394" s="74" t="s">
        <v>220</v>
      </c>
      <c r="C1394" s="81">
        <v>591.6</v>
      </c>
    </row>
    <row r="1395" spans="1:3" ht="25.5" x14ac:dyDescent="0.2">
      <c r="A1395" s="90" t="s">
        <v>291</v>
      </c>
      <c r="B1395" s="74" t="s">
        <v>220</v>
      </c>
      <c r="C1395" s="81">
        <v>591.6</v>
      </c>
    </row>
    <row r="1396" spans="1:3" ht="25.5" x14ac:dyDescent="0.2">
      <c r="A1396" s="90" t="s">
        <v>291</v>
      </c>
      <c r="B1396" s="74" t="s">
        <v>220</v>
      </c>
      <c r="C1396" s="81">
        <v>591.6</v>
      </c>
    </row>
    <row r="1397" spans="1:3" ht="25.5" x14ac:dyDescent="0.2">
      <c r="A1397" s="90" t="s">
        <v>291</v>
      </c>
      <c r="B1397" s="74" t="s">
        <v>220</v>
      </c>
      <c r="C1397" s="81">
        <v>591.6</v>
      </c>
    </row>
    <row r="1398" spans="1:3" ht="25.5" x14ac:dyDescent="0.2">
      <c r="A1398" s="90" t="s">
        <v>291</v>
      </c>
      <c r="B1398" s="74" t="s">
        <v>220</v>
      </c>
      <c r="C1398" s="81">
        <v>591.6</v>
      </c>
    </row>
    <row r="1399" spans="1:3" ht="25.5" x14ac:dyDescent="0.2">
      <c r="A1399" s="90" t="s">
        <v>291</v>
      </c>
      <c r="B1399" s="74" t="s">
        <v>220</v>
      </c>
      <c r="C1399" s="81">
        <v>591.6</v>
      </c>
    </row>
    <row r="1400" spans="1:3" ht="25.5" x14ac:dyDescent="0.2">
      <c r="A1400" s="87" t="s">
        <v>291</v>
      </c>
      <c r="B1400" s="74" t="s">
        <v>220</v>
      </c>
      <c r="C1400" s="81">
        <v>591.6</v>
      </c>
    </row>
    <row r="1401" spans="1:3" ht="25.5" x14ac:dyDescent="0.2">
      <c r="A1401" s="87" t="s">
        <v>291</v>
      </c>
      <c r="B1401" s="74" t="s">
        <v>220</v>
      </c>
      <c r="C1401" s="81">
        <v>591.6</v>
      </c>
    </row>
    <row r="1402" spans="1:3" ht="25.5" x14ac:dyDescent="0.2">
      <c r="A1402" s="87" t="s">
        <v>291</v>
      </c>
      <c r="B1402" s="74" t="s">
        <v>220</v>
      </c>
      <c r="C1402" s="81">
        <v>591.6</v>
      </c>
    </row>
    <row r="1403" spans="1:3" ht="25.5" x14ac:dyDescent="0.2">
      <c r="A1403" s="87" t="s">
        <v>291</v>
      </c>
      <c r="B1403" s="74" t="s">
        <v>220</v>
      </c>
      <c r="C1403" s="81">
        <v>591.6</v>
      </c>
    </row>
    <row r="1404" spans="1:3" ht="25.5" x14ac:dyDescent="0.2">
      <c r="A1404" s="87" t="s">
        <v>291</v>
      </c>
      <c r="B1404" s="74" t="s">
        <v>220</v>
      </c>
      <c r="C1404" s="81">
        <v>591.6</v>
      </c>
    </row>
    <row r="1405" spans="1:3" ht="25.5" x14ac:dyDescent="0.2">
      <c r="A1405" s="87" t="s">
        <v>291</v>
      </c>
      <c r="B1405" s="74" t="s">
        <v>220</v>
      </c>
      <c r="C1405" s="81">
        <v>591.6</v>
      </c>
    </row>
    <row r="1406" spans="1:3" ht="25.5" x14ac:dyDescent="0.2">
      <c r="A1406" s="87" t="s">
        <v>291</v>
      </c>
      <c r="B1406" s="74" t="s">
        <v>220</v>
      </c>
      <c r="C1406" s="81">
        <v>591.6</v>
      </c>
    </row>
    <row r="1407" spans="1:3" ht="25.5" x14ac:dyDescent="0.2">
      <c r="A1407" s="87" t="s">
        <v>291</v>
      </c>
      <c r="B1407" s="74" t="s">
        <v>220</v>
      </c>
      <c r="C1407" s="81">
        <v>591.6</v>
      </c>
    </row>
    <row r="1408" spans="1:3" ht="25.5" x14ac:dyDescent="0.2">
      <c r="A1408" s="87" t="s">
        <v>291</v>
      </c>
      <c r="B1408" s="74" t="s">
        <v>220</v>
      </c>
      <c r="C1408" s="81">
        <v>591.6</v>
      </c>
    </row>
    <row r="1409" spans="1:3" ht="25.5" x14ac:dyDescent="0.2">
      <c r="A1409" s="87" t="s">
        <v>291</v>
      </c>
      <c r="B1409" s="74" t="s">
        <v>220</v>
      </c>
      <c r="C1409" s="81">
        <v>591.6</v>
      </c>
    </row>
    <row r="1410" spans="1:3" ht="25.5" x14ac:dyDescent="0.2">
      <c r="A1410" s="87" t="s">
        <v>291</v>
      </c>
      <c r="B1410" s="74" t="s">
        <v>220</v>
      </c>
      <c r="C1410" s="81">
        <v>591.6</v>
      </c>
    </row>
    <row r="1411" spans="1:3" ht="25.5" x14ac:dyDescent="0.2">
      <c r="A1411" s="87" t="s">
        <v>291</v>
      </c>
      <c r="B1411" s="74" t="s">
        <v>220</v>
      </c>
      <c r="C1411" s="81">
        <v>591.6</v>
      </c>
    </row>
    <row r="1412" spans="1:3" ht="25.5" x14ac:dyDescent="0.2">
      <c r="A1412" s="87" t="s">
        <v>291</v>
      </c>
      <c r="B1412" s="74" t="s">
        <v>220</v>
      </c>
      <c r="C1412" s="81">
        <v>591.6</v>
      </c>
    </row>
    <row r="1413" spans="1:3" ht="25.5" x14ac:dyDescent="0.2">
      <c r="A1413" s="87" t="s">
        <v>291</v>
      </c>
      <c r="B1413" s="74" t="s">
        <v>220</v>
      </c>
      <c r="C1413" s="81">
        <v>591.6</v>
      </c>
    </row>
    <row r="1414" spans="1:3" ht="25.5" x14ac:dyDescent="0.2">
      <c r="A1414" s="87" t="s">
        <v>291</v>
      </c>
      <c r="B1414" s="74" t="s">
        <v>220</v>
      </c>
      <c r="C1414" s="81">
        <v>591.6</v>
      </c>
    </row>
    <row r="1415" spans="1:3" ht="25.5" x14ac:dyDescent="0.2">
      <c r="A1415" s="87" t="s">
        <v>291</v>
      </c>
      <c r="B1415" s="74" t="s">
        <v>220</v>
      </c>
      <c r="C1415" s="81">
        <v>591.6</v>
      </c>
    </row>
    <row r="1416" spans="1:3" ht="25.5" x14ac:dyDescent="0.2">
      <c r="A1416" s="87" t="s">
        <v>291</v>
      </c>
      <c r="B1416" s="74" t="s">
        <v>220</v>
      </c>
      <c r="C1416" s="81">
        <v>591.6</v>
      </c>
    </row>
    <row r="1417" spans="1:3" ht="25.5" x14ac:dyDescent="0.2">
      <c r="A1417" s="87" t="s">
        <v>291</v>
      </c>
      <c r="B1417" s="74" t="s">
        <v>220</v>
      </c>
      <c r="C1417" s="81">
        <v>591.6</v>
      </c>
    </row>
    <row r="1418" spans="1:3" ht="25.5" x14ac:dyDescent="0.2">
      <c r="A1418" s="87" t="s">
        <v>291</v>
      </c>
      <c r="B1418" s="74" t="s">
        <v>220</v>
      </c>
      <c r="C1418" s="81">
        <v>591.6</v>
      </c>
    </row>
    <row r="1419" spans="1:3" ht="25.5" x14ac:dyDescent="0.2">
      <c r="A1419" s="87" t="s">
        <v>291</v>
      </c>
      <c r="B1419" s="74" t="s">
        <v>220</v>
      </c>
      <c r="C1419" s="81">
        <v>591.6</v>
      </c>
    </row>
    <row r="1420" spans="1:3" ht="25.5" x14ac:dyDescent="0.2">
      <c r="A1420" s="87" t="s">
        <v>291</v>
      </c>
      <c r="B1420" s="74" t="s">
        <v>220</v>
      </c>
      <c r="C1420" s="81">
        <v>591.6</v>
      </c>
    </row>
    <row r="1421" spans="1:3" ht="25.5" x14ac:dyDescent="0.2">
      <c r="A1421" s="87" t="s">
        <v>291</v>
      </c>
      <c r="B1421" s="74" t="s">
        <v>220</v>
      </c>
      <c r="C1421" s="81">
        <v>591.6</v>
      </c>
    </row>
    <row r="1422" spans="1:3" ht="25.5" x14ac:dyDescent="0.2">
      <c r="A1422" s="87" t="s">
        <v>291</v>
      </c>
      <c r="B1422" s="74" t="s">
        <v>220</v>
      </c>
      <c r="C1422" s="81">
        <v>591.6</v>
      </c>
    </row>
    <row r="1423" spans="1:3" ht="25.5" x14ac:dyDescent="0.2">
      <c r="A1423" s="87" t="s">
        <v>291</v>
      </c>
      <c r="B1423" s="74" t="s">
        <v>220</v>
      </c>
      <c r="C1423" s="81">
        <v>591.6</v>
      </c>
    </row>
    <row r="1424" spans="1:3" ht="25.5" x14ac:dyDescent="0.2">
      <c r="A1424" s="87" t="s">
        <v>291</v>
      </c>
      <c r="B1424" s="74" t="s">
        <v>220</v>
      </c>
      <c r="C1424" s="81">
        <v>591.6</v>
      </c>
    </row>
    <row r="1425" spans="1:3" ht="25.5" x14ac:dyDescent="0.2">
      <c r="A1425" s="87" t="s">
        <v>291</v>
      </c>
      <c r="B1425" s="74" t="s">
        <v>220</v>
      </c>
      <c r="C1425" s="81">
        <v>591.6</v>
      </c>
    </row>
    <row r="1426" spans="1:3" ht="25.5" x14ac:dyDescent="0.2">
      <c r="A1426" s="87" t="s">
        <v>291</v>
      </c>
      <c r="B1426" s="74" t="s">
        <v>220</v>
      </c>
      <c r="C1426" s="81">
        <v>591.6</v>
      </c>
    </row>
    <row r="1427" spans="1:3" ht="25.5" x14ac:dyDescent="0.2">
      <c r="A1427" s="87" t="s">
        <v>291</v>
      </c>
      <c r="B1427" s="74" t="s">
        <v>220</v>
      </c>
      <c r="C1427" s="81">
        <v>591.6</v>
      </c>
    </row>
    <row r="1428" spans="1:3" ht="25.5" x14ac:dyDescent="0.2">
      <c r="A1428" s="87" t="s">
        <v>291</v>
      </c>
      <c r="B1428" s="74" t="s">
        <v>220</v>
      </c>
      <c r="C1428" s="81">
        <v>591.6</v>
      </c>
    </row>
    <row r="1429" spans="1:3" ht="25.5" x14ac:dyDescent="0.2">
      <c r="A1429" s="87" t="s">
        <v>291</v>
      </c>
      <c r="B1429" s="74" t="s">
        <v>220</v>
      </c>
      <c r="C1429" s="81">
        <v>591.6</v>
      </c>
    </row>
    <row r="1430" spans="1:3" ht="25.5" x14ac:dyDescent="0.2">
      <c r="A1430" s="87" t="s">
        <v>291</v>
      </c>
      <c r="B1430" s="74" t="s">
        <v>220</v>
      </c>
      <c r="C1430" s="81">
        <v>591.6</v>
      </c>
    </row>
    <row r="1431" spans="1:3" ht="25.5" x14ac:dyDescent="0.2">
      <c r="A1431" s="87" t="s">
        <v>291</v>
      </c>
      <c r="B1431" s="74" t="s">
        <v>220</v>
      </c>
      <c r="C1431" s="81">
        <v>591.6</v>
      </c>
    </row>
    <row r="1432" spans="1:3" ht="25.5" x14ac:dyDescent="0.2">
      <c r="A1432" s="87" t="s">
        <v>291</v>
      </c>
      <c r="B1432" s="74" t="s">
        <v>220</v>
      </c>
      <c r="C1432" s="81">
        <v>591.6</v>
      </c>
    </row>
    <row r="1433" spans="1:3" ht="25.5" x14ac:dyDescent="0.2">
      <c r="A1433" s="87" t="s">
        <v>291</v>
      </c>
      <c r="B1433" s="74" t="s">
        <v>220</v>
      </c>
      <c r="C1433" s="81">
        <v>591.6</v>
      </c>
    </row>
    <row r="1434" spans="1:3" ht="25.5" x14ac:dyDescent="0.2">
      <c r="A1434" s="87" t="s">
        <v>291</v>
      </c>
      <c r="B1434" s="74" t="s">
        <v>220</v>
      </c>
      <c r="C1434" s="81">
        <v>591.6</v>
      </c>
    </row>
    <row r="1435" spans="1:3" ht="25.5" x14ac:dyDescent="0.2">
      <c r="A1435" s="87" t="s">
        <v>291</v>
      </c>
      <c r="B1435" s="74" t="s">
        <v>220</v>
      </c>
      <c r="C1435" s="81">
        <v>591.6</v>
      </c>
    </row>
    <row r="1436" spans="1:3" ht="25.5" x14ac:dyDescent="0.2">
      <c r="A1436" s="87" t="s">
        <v>291</v>
      </c>
      <c r="B1436" s="74" t="s">
        <v>220</v>
      </c>
      <c r="C1436" s="81">
        <v>591.6</v>
      </c>
    </row>
    <row r="1437" spans="1:3" ht="25.5" x14ac:dyDescent="0.2">
      <c r="A1437" s="87" t="s">
        <v>291</v>
      </c>
      <c r="B1437" s="74" t="s">
        <v>220</v>
      </c>
      <c r="C1437" s="81">
        <v>591.6</v>
      </c>
    </row>
    <row r="1438" spans="1:3" ht="25.5" x14ac:dyDescent="0.2">
      <c r="A1438" s="87" t="s">
        <v>291</v>
      </c>
      <c r="B1438" s="74" t="s">
        <v>220</v>
      </c>
      <c r="C1438" s="81">
        <v>591.6</v>
      </c>
    </row>
    <row r="1439" spans="1:3" ht="25.5" x14ac:dyDescent="0.2">
      <c r="A1439" s="87" t="s">
        <v>291</v>
      </c>
      <c r="B1439" s="74" t="s">
        <v>220</v>
      </c>
      <c r="C1439" s="81">
        <v>591.6</v>
      </c>
    </row>
    <row r="1440" spans="1:3" ht="25.5" x14ac:dyDescent="0.2">
      <c r="A1440" s="87" t="s">
        <v>291</v>
      </c>
      <c r="B1440" s="74" t="s">
        <v>221</v>
      </c>
      <c r="C1440" s="81">
        <f>862068.97*1.16</f>
        <v>1000000.0051999999</v>
      </c>
    </row>
    <row r="1441" spans="1:3" ht="38.25" x14ac:dyDescent="0.2">
      <c r="A1441" s="87" t="s">
        <v>291</v>
      </c>
      <c r="B1441" s="74" t="s">
        <v>222</v>
      </c>
      <c r="C1441" s="81">
        <f>3350*20*1.16</f>
        <v>77720</v>
      </c>
    </row>
    <row r="1442" spans="1:3" ht="25.5" x14ac:dyDescent="0.2">
      <c r="A1442" s="87" t="s">
        <v>291</v>
      </c>
      <c r="B1442" s="74" t="s">
        <v>223</v>
      </c>
      <c r="C1442" s="81">
        <f t="shared" ref="C1442:C1466" si="9">8620.7*1.16</f>
        <v>10000.012000000001</v>
      </c>
    </row>
    <row r="1443" spans="1:3" ht="25.5" x14ac:dyDescent="0.2">
      <c r="A1443" s="87" t="s">
        <v>291</v>
      </c>
      <c r="B1443" s="74" t="s">
        <v>223</v>
      </c>
      <c r="C1443" s="81">
        <f t="shared" si="9"/>
        <v>10000.012000000001</v>
      </c>
    </row>
    <row r="1444" spans="1:3" ht="25.5" x14ac:dyDescent="0.2">
      <c r="A1444" s="87" t="s">
        <v>291</v>
      </c>
      <c r="B1444" s="74" t="s">
        <v>223</v>
      </c>
      <c r="C1444" s="81">
        <f t="shared" si="9"/>
        <v>10000.012000000001</v>
      </c>
    </row>
    <row r="1445" spans="1:3" ht="25.5" x14ac:dyDescent="0.2">
      <c r="A1445" s="87" t="s">
        <v>291</v>
      </c>
      <c r="B1445" s="74" t="s">
        <v>223</v>
      </c>
      <c r="C1445" s="81">
        <f t="shared" si="9"/>
        <v>10000.012000000001</v>
      </c>
    </row>
    <row r="1446" spans="1:3" ht="25.5" x14ac:dyDescent="0.2">
      <c r="A1446" s="87" t="s">
        <v>291</v>
      </c>
      <c r="B1446" s="74" t="s">
        <v>223</v>
      </c>
      <c r="C1446" s="81">
        <f t="shared" si="9"/>
        <v>10000.012000000001</v>
      </c>
    </row>
    <row r="1447" spans="1:3" ht="25.5" x14ac:dyDescent="0.2">
      <c r="A1447" s="87" t="s">
        <v>291</v>
      </c>
      <c r="B1447" s="74" t="s">
        <v>223</v>
      </c>
      <c r="C1447" s="81">
        <f t="shared" si="9"/>
        <v>10000.012000000001</v>
      </c>
    </row>
    <row r="1448" spans="1:3" ht="25.5" x14ac:dyDescent="0.2">
      <c r="A1448" s="87" t="s">
        <v>291</v>
      </c>
      <c r="B1448" s="74" t="s">
        <v>223</v>
      </c>
      <c r="C1448" s="81">
        <f t="shared" si="9"/>
        <v>10000.012000000001</v>
      </c>
    </row>
    <row r="1449" spans="1:3" ht="25.5" x14ac:dyDescent="0.2">
      <c r="A1449" s="87" t="s">
        <v>291</v>
      </c>
      <c r="B1449" s="74" t="s">
        <v>223</v>
      </c>
      <c r="C1449" s="81">
        <f t="shared" si="9"/>
        <v>10000.012000000001</v>
      </c>
    </row>
    <row r="1450" spans="1:3" ht="25.5" x14ac:dyDescent="0.2">
      <c r="A1450" s="87" t="s">
        <v>291</v>
      </c>
      <c r="B1450" s="74" t="s">
        <v>223</v>
      </c>
      <c r="C1450" s="81">
        <f t="shared" si="9"/>
        <v>10000.012000000001</v>
      </c>
    </row>
    <row r="1451" spans="1:3" ht="25.5" x14ac:dyDescent="0.2">
      <c r="A1451" s="87" t="s">
        <v>291</v>
      </c>
      <c r="B1451" s="74" t="s">
        <v>223</v>
      </c>
      <c r="C1451" s="81">
        <f t="shared" si="9"/>
        <v>10000.012000000001</v>
      </c>
    </row>
    <row r="1452" spans="1:3" ht="25.5" x14ac:dyDescent="0.2">
      <c r="A1452" s="87" t="s">
        <v>291</v>
      </c>
      <c r="B1452" s="74" t="s">
        <v>223</v>
      </c>
      <c r="C1452" s="81">
        <f t="shared" si="9"/>
        <v>10000.012000000001</v>
      </c>
    </row>
    <row r="1453" spans="1:3" ht="25.5" x14ac:dyDescent="0.2">
      <c r="A1453" s="87" t="s">
        <v>291</v>
      </c>
      <c r="B1453" s="74" t="s">
        <v>223</v>
      </c>
      <c r="C1453" s="81">
        <f t="shared" si="9"/>
        <v>10000.012000000001</v>
      </c>
    </row>
    <row r="1454" spans="1:3" ht="25.5" x14ac:dyDescent="0.2">
      <c r="A1454" s="87" t="s">
        <v>291</v>
      </c>
      <c r="B1454" s="74" t="s">
        <v>223</v>
      </c>
      <c r="C1454" s="81">
        <f t="shared" si="9"/>
        <v>10000.012000000001</v>
      </c>
    </row>
    <row r="1455" spans="1:3" ht="25.5" x14ac:dyDescent="0.2">
      <c r="A1455" s="87" t="s">
        <v>291</v>
      </c>
      <c r="B1455" s="74" t="s">
        <v>223</v>
      </c>
      <c r="C1455" s="81">
        <f t="shared" si="9"/>
        <v>10000.012000000001</v>
      </c>
    </row>
    <row r="1456" spans="1:3" ht="25.5" x14ac:dyDescent="0.2">
      <c r="A1456" s="87" t="s">
        <v>291</v>
      </c>
      <c r="B1456" s="74" t="s">
        <v>223</v>
      </c>
      <c r="C1456" s="81">
        <f t="shared" si="9"/>
        <v>10000.012000000001</v>
      </c>
    </row>
    <row r="1457" spans="1:3" ht="25.5" x14ac:dyDescent="0.2">
      <c r="A1457" s="87" t="s">
        <v>291</v>
      </c>
      <c r="B1457" s="74" t="s">
        <v>223</v>
      </c>
      <c r="C1457" s="81">
        <f t="shared" si="9"/>
        <v>10000.012000000001</v>
      </c>
    </row>
    <row r="1458" spans="1:3" ht="25.5" x14ac:dyDescent="0.2">
      <c r="A1458" s="87" t="s">
        <v>291</v>
      </c>
      <c r="B1458" s="74" t="s">
        <v>223</v>
      </c>
      <c r="C1458" s="81">
        <f t="shared" si="9"/>
        <v>10000.012000000001</v>
      </c>
    </row>
    <row r="1459" spans="1:3" ht="25.5" x14ac:dyDescent="0.2">
      <c r="A1459" s="87" t="s">
        <v>291</v>
      </c>
      <c r="B1459" s="74" t="s">
        <v>223</v>
      </c>
      <c r="C1459" s="81">
        <f t="shared" si="9"/>
        <v>10000.012000000001</v>
      </c>
    </row>
    <row r="1460" spans="1:3" ht="25.5" x14ac:dyDescent="0.2">
      <c r="A1460" s="87" t="s">
        <v>291</v>
      </c>
      <c r="B1460" s="74" t="s">
        <v>223</v>
      </c>
      <c r="C1460" s="81">
        <f t="shared" si="9"/>
        <v>10000.012000000001</v>
      </c>
    </row>
    <row r="1461" spans="1:3" ht="25.5" x14ac:dyDescent="0.2">
      <c r="A1461" s="87" t="s">
        <v>291</v>
      </c>
      <c r="B1461" s="74" t="s">
        <v>223</v>
      </c>
      <c r="C1461" s="81">
        <f t="shared" si="9"/>
        <v>10000.012000000001</v>
      </c>
    </row>
    <row r="1462" spans="1:3" ht="25.5" x14ac:dyDescent="0.2">
      <c r="A1462" s="87" t="s">
        <v>291</v>
      </c>
      <c r="B1462" s="74" t="s">
        <v>223</v>
      </c>
      <c r="C1462" s="81">
        <f t="shared" si="9"/>
        <v>10000.012000000001</v>
      </c>
    </row>
    <row r="1463" spans="1:3" ht="25.5" x14ac:dyDescent="0.2">
      <c r="A1463" s="87" t="s">
        <v>291</v>
      </c>
      <c r="B1463" s="74" t="s">
        <v>223</v>
      </c>
      <c r="C1463" s="81">
        <f t="shared" si="9"/>
        <v>10000.012000000001</v>
      </c>
    </row>
    <row r="1464" spans="1:3" ht="25.5" x14ac:dyDescent="0.2">
      <c r="A1464" s="87" t="s">
        <v>291</v>
      </c>
      <c r="B1464" s="74" t="s">
        <v>223</v>
      </c>
      <c r="C1464" s="81">
        <f t="shared" si="9"/>
        <v>10000.012000000001</v>
      </c>
    </row>
    <row r="1465" spans="1:3" ht="25.5" x14ac:dyDescent="0.2">
      <c r="A1465" s="87" t="s">
        <v>291</v>
      </c>
      <c r="B1465" s="74" t="s">
        <v>223</v>
      </c>
      <c r="C1465" s="81">
        <f t="shared" si="9"/>
        <v>10000.012000000001</v>
      </c>
    </row>
    <row r="1466" spans="1:3" ht="25.5" x14ac:dyDescent="0.2">
      <c r="A1466" s="87" t="s">
        <v>291</v>
      </c>
      <c r="B1466" s="74" t="s">
        <v>223</v>
      </c>
      <c r="C1466" s="81">
        <f t="shared" si="9"/>
        <v>10000.012000000001</v>
      </c>
    </row>
    <row r="1467" spans="1:3" x14ac:dyDescent="0.2">
      <c r="A1467" s="87" t="s">
        <v>291</v>
      </c>
      <c r="B1467" s="74" t="s">
        <v>224</v>
      </c>
      <c r="C1467" s="81">
        <f>28800*1.16</f>
        <v>33408</v>
      </c>
    </row>
    <row r="1468" spans="1:3" x14ac:dyDescent="0.2">
      <c r="A1468" s="87" t="s">
        <v>291</v>
      </c>
      <c r="B1468" s="74" t="s">
        <v>225</v>
      </c>
      <c r="C1468" s="81">
        <f t="shared" ref="C1468:C1482" si="10">18588.51*1.16</f>
        <v>21562.671599999998</v>
      </c>
    </row>
    <row r="1469" spans="1:3" x14ac:dyDescent="0.2">
      <c r="A1469" s="87" t="s">
        <v>291</v>
      </c>
      <c r="B1469" s="74" t="s">
        <v>225</v>
      </c>
      <c r="C1469" s="81">
        <f t="shared" si="10"/>
        <v>21562.671599999998</v>
      </c>
    </row>
    <row r="1470" spans="1:3" x14ac:dyDescent="0.2">
      <c r="A1470" s="87" t="s">
        <v>291</v>
      </c>
      <c r="B1470" s="74" t="s">
        <v>225</v>
      </c>
      <c r="C1470" s="81">
        <f t="shared" si="10"/>
        <v>21562.671599999998</v>
      </c>
    </row>
    <row r="1471" spans="1:3" x14ac:dyDescent="0.2">
      <c r="A1471" s="87" t="s">
        <v>291</v>
      </c>
      <c r="B1471" s="74" t="s">
        <v>225</v>
      </c>
      <c r="C1471" s="81">
        <f t="shared" si="10"/>
        <v>21562.671599999998</v>
      </c>
    </row>
    <row r="1472" spans="1:3" x14ac:dyDescent="0.2">
      <c r="A1472" s="87" t="s">
        <v>291</v>
      </c>
      <c r="B1472" s="74" t="s">
        <v>225</v>
      </c>
      <c r="C1472" s="81">
        <f t="shared" si="10"/>
        <v>21562.671599999998</v>
      </c>
    </row>
    <row r="1473" spans="1:3" x14ac:dyDescent="0.2">
      <c r="A1473" s="87" t="s">
        <v>291</v>
      </c>
      <c r="B1473" s="74" t="s">
        <v>225</v>
      </c>
      <c r="C1473" s="81">
        <f t="shared" si="10"/>
        <v>21562.671599999998</v>
      </c>
    </row>
    <row r="1474" spans="1:3" x14ac:dyDescent="0.2">
      <c r="A1474" s="87" t="s">
        <v>291</v>
      </c>
      <c r="B1474" s="74" t="s">
        <v>225</v>
      </c>
      <c r="C1474" s="81">
        <f t="shared" si="10"/>
        <v>21562.671599999998</v>
      </c>
    </row>
    <row r="1475" spans="1:3" x14ac:dyDescent="0.2">
      <c r="A1475" s="87" t="s">
        <v>291</v>
      </c>
      <c r="B1475" s="74" t="s">
        <v>225</v>
      </c>
      <c r="C1475" s="81">
        <f t="shared" si="10"/>
        <v>21562.671599999998</v>
      </c>
    </row>
    <row r="1476" spans="1:3" x14ac:dyDescent="0.2">
      <c r="A1476" s="87" t="s">
        <v>291</v>
      </c>
      <c r="B1476" s="74" t="s">
        <v>225</v>
      </c>
      <c r="C1476" s="81">
        <f t="shared" si="10"/>
        <v>21562.671599999998</v>
      </c>
    </row>
    <row r="1477" spans="1:3" x14ac:dyDescent="0.2">
      <c r="A1477" s="87" t="s">
        <v>291</v>
      </c>
      <c r="B1477" s="74" t="s">
        <v>225</v>
      </c>
      <c r="C1477" s="81">
        <f t="shared" si="10"/>
        <v>21562.671599999998</v>
      </c>
    </row>
    <row r="1478" spans="1:3" x14ac:dyDescent="0.2">
      <c r="A1478" s="87" t="s">
        <v>291</v>
      </c>
      <c r="B1478" s="74" t="s">
        <v>225</v>
      </c>
      <c r="C1478" s="81">
        <f t="shared" si="10"/>
        <v>21562.671599999998</v>
      </c>
    </row>
    <row r="1479" spans="1:3" x14ac:dyDescent="0.2">
      <c r="A1479" s="87" t="s">
        <v>291</v>
      </c>
      <c r="B1479" s="74" t="s">
        <v>225</v>
      </c>
      <c r="C1479" s="81">
        <f t="shared" si="10"/>
        <v>21562.671599999998</v>
      </c>
    </row>
    <row r="1480" spans="1:3" x14ac:dyDescent="0.2">
      <c r="A1480" s="87" t="s">
        <v>291</v>
      </c>
      <c r="B1480" s="74" t="s">
        <v>225</v>
      </c>
      <c r="C1480" s="81">
        <f t="shared" si="10"/>
        <v>21562.671599999998</v>
      </c>
    </row>
    <row r="1481" spans="1:3" x14ac:dyDescent="0.2">
      <c r="A1481" s="87" t="s">
        <v>291</v>
      </c>
      <c r="B1481" s="74" t="s">
        <v>225</v>
      </c>
      <c r="C1481" s="81">
        <f t="shared" si="10"/>
        <v>21562.671599999998</v>
      </c>
    </row>
    <row r="1482" spans="1:3" x14ac:dyDescent="0.2">
      <c r="A1482" s="87" t="s">
        <v>291</v>
      </c>
      <c r="B1482" s="74" t="s">
        <v>225</v>
      </c>
      <c r="C1482" s="81">
        <f t="shared" si="10"/>
        <v>21562.671599999998</v>
      </c>
    </row>
    <row r="1483" spans="1:3" x14ac:dyDescent="0.2">
      <c r="A1483" s="87" t="s">
        <v>291</v>
      </c>
      <c r="B1483" s="74" t="s">
        <v>226</v>
      </c>
      <c r="C1483" s="81">
        <v>949.99</v>
      </c>
    </row>
    <row r="1484" spans="1:3" x14ac:dyDescent="0.2">
      <c r="A1484" s="87" t="s">
        <v>291</v>
      </c>
      <c r="B1484" s="74" t="s">
        <v>226</v>
      </c>
      <c r="C1484" s="81">
        <v>949.99</v>
      </c>
    </row>
    <row r="1485" spans="1:3" x14ac:dyDescent="0.2">
      <c r="A1485" s="87" t="s">
        <v>291</v>
      </c>
      <c r="B1485" s="74" t="s">
        <v>226</v>
      </c>
      <c r="C1485" s="81">
        <v>949.99</v>
      </c>
    </row>
    <row r="1486" spans="1:3" x14ac:dyDescent="0.2">
      <c r="A1486" s="87" t="s">
        <v>291</v>
      </c>
      <c r="B1486" s="74" t="s">
        <v>226</v>
      </c>
      <c r="C1486" s="81">
        <v>949.99</v>
      </c>
    </row>
    <row r="1487" spans="1:3" x14ac:dyDescent="0.2">
      <c r="A1487" s="87" t="s">
        <v>291</v>
      </c>
      <c r="B1487" s="74" t="s">
        <v>226</v>
      </c>
      <c r="C1487" s="81">
        <v>949.99</v>
      </c>
    </row>
    <row r="1488" spans="1:3" x14ac:dyDescent="0.2">
      <c r="A1488" s="87" t="s">
        <v>291</v>
      </c>
      <c r="B1488" s="74" t="s">
        <v>226</v>
      </c>
      <c r="C1488" s="81">
        <v>949.99</v>
      </c>
    </row>
    <row r="1489" spans="1:3" x14ac:dyDescent="0.2">
      <c r="A1489" s="87" t="s">
        <v>291</v>
      </c>
      <c r="B1489" s="74" t="s">
        <v>226</v>
      </c>
      <c r="C1489" s="81">
        <v>949.99</v>
      </c>
    </row>
    <row r="1490" spans="1:3" x14ac:dyDescent="0.2">
      <c r="A1490" s="87" t="s">
        <v>291</v>
      </c>
      <c r="B1490" s="74" t="s">
        <v>226</v>
      </c>
      <c r="C1490" s="81">
        <v>949.99</v>
      </c>
    </row>
    <row r="1491" spans="1:3" x14ac:dyDescent="0.2">
      <c r="A1491" s="87" t="s">
        <v>291</v>
      </c>
      <c r="B1491" s="74" t="s">
        <v>226</v>
      </c>
      <c r="C1491" s="81">
        <v>949.99</v>
      </c>
    </row>
    <row r="1492" spans="1:3" x14ac:dyDescent="0.2">
      <c r="A1492" s="87" t="s">
        <v>291</v>
      </c>
      <c r="B1492" s="74" t="s">
        <v>226</v>
      </c>
      <c r="C1492" s="81">
        <v>949.99</v>
      </c>
    </row>
    <row r="1493" spans="1:3" x14ac:dyDescent="0.2">
      <c r="A1493" s="87" t="s">
        <v>291</v>
      </c>
      <c r="B1493" s="74" t="s">
        <v>226</v>
      </c>
      <c r="C1493" s="81">
        <v>949.99</v>
      </c>
    </row>
    <row r="1494" spans="1:3" x14ac:dyDescent="0.2">
      <c r="A1494" s="87" t="s">
        <v>291</v>
      </c>
      <c r="B1494" s="74" t="s">
        <v>226</v>
      </c>
      <c r="C1494" s="81">
        <v>949.99</v>
      </c>
    </row>
    <row r="1495" spans="1:3" x14ac:dyDescent="0.2">
      <c r="A1495" s="87" t="s">
        <v>291</v>
      </c>
      <c r="B1495" s="74" t="s">
        <v>226</v>
      </c>
      <c r="C1495" s="81">
        <v>949.99</v>
      </c>
    </row>
    <row r="1496" spans="1:3" x14ac:dyDescent="0.2">
      <c r="A1496" s="87" t="s">
        <v>291</v>
      </c>
      <c r="B1496" s="74" t="s">
        <v>226</v>
      </c>
      <c r="C1496" s="81">
        <v>949.99</v>
      </c>
    </row>
    <row r="1497" spans="1:3" x14ac:dyDescent="0.2">
      <c r="A1497" s="87" t="s">
        <v>291</v>
      </c>
      <c r="B1497" s="74" t="s">
        <v>226</v>
      </c>
      <c r="C1497" s="81">
        <v>949.99</v>
      </c>
    </row>
    <row r="1498" spans="1:3" x14ac:dyDescent="0.2">
      <c r="A1498" s="87" t="s">
        <v>291</v>
      </c>
      <c r="B1498" s="74" t="s">
        <v>226</v>
      </c>
      <c r="C1498" s="81">
        <v>949.99</v>
      </c>
    </row>
    <row r="1499" spans="1:3" x14ac:dyDescent="0.2">
      <c r="A1499" s="87" t="s">
        <v>291</v>
      </c>
      <c r="B1499" s="74" t="s">
        <v>226</v>
      </c>
      <c r="C1499" s="81">
        <v>949.99</v>
      </c>
    </row>
    <row r="1500" spans="1:3" x14ac:dyDescent="0.2">
      <c r="A1500" s="87" t="s">
        <v>291</v>
      </c>
      <c r="B1500" s="74" t="s">
        <v>226</v>
      </c>
      <c r="C1500" s="81">
        <v>949.99</v>
      </c>
    </row>
    <row r="1501" spans="1:3" x14ac:dyDescent="0.2">
      <c r="A1501" s="87" t="s">
        <v>291</v>
      </c>
      <c r="B1501" s="74" t="s">
        <v>226</v>
      </c>
      <c r="C1501" s="81">
        <v>949.99</v>
      </c>
    </row>
    <row r="1502" spans="1:3" x14ac:dyDescent="0.2">
      <c r="A1502" s="87" t="s">
        <v>291</v>
      </c>
      <c r="B1502" s="74" t="s">
        <v>226</v>
      </c>
      <c r="C1502" s="81">
        <v>949.99</v>
      </c>
    </row>
    <row r="1503" spans="1:3" x14ac:dyDescent="0.2">
      <c r="A1503" s="87" t="s">
        <v>291</v>
      </c>
      <c r="B1503" s="74" t="s">
        <v>226</v>
      </c>
      <c r="C1503" s="81">
        <v>949.99</v>
      </c>
    </row>
    <row r="1504" spans="1:3" x14ac:dyDescent="0.2">
      <c r="A1504" s="87" t="s">
        <v>291</v>
      </c>
      <c r="B1504" s="74" t="s">
        <v>226</v>
      </c>
      <c r="C1504" s="81">
        <v>949.99</v>
      </c>
    </row>
    <row r="1505" spans="1:3" x14ac:dyDescent="0.2">
      <c r="A1505" s="87" t="s">
        <v>291</v>
      </c>
      <c r="B1505" s="74" t="s">
        <v>226</v>
      </c>
      <c r="C1505" s="81">
        <v>949.99</v>
      </c>
    </row>
    <row r="1506" spans="1:3" x14ac:dyDescent="0.2">
      <c r="A1506" s="87" t="s">
        <v>291</v>
      </c>
      <c r="B1506" s="74" t="s">
        <v>226</v>
      </c>
      <c r="C1506" s="81">
        <v>949.99</v>
      </c>
    </row>
    <row r="1507" spans="1:3" x14ac:dyDescent="0.2">
      <c r="A1507" s="87" t="s">
        <v>291</v>
      </c>
      <c r="B1507" s="74" t="s">
        <v>226</v>
      </c>
      <c r="C1507" s="81">
        <v>949.99</v>
      </c>
    </row>
    <row r="1508" spans="1:3" x14ac:dyDescent="0.2">
      <c r="A1508" s="87" t="s">
        <v>291</v>
      </c>
      <c r="B1508" s="74" t="s">
        <v>226</v>
      </c>
      <c r="C1508" s="81">
        <v>949.99</v>
      </c>
    </row>
    <row r="1509" spans="1:3" x14ac:dyDescent="0.2">
      <c r="A1509" s="87" t="s">
        <v>291</v>
      </c>
      <c r="B1509" s="74" t="s">
        <v>226</v>
      </c>
      <c r="C1509" s="81">
        <v>949.99</v>
      </c>
    </row>
    <row r="1510" spans="1:3" x14ac:dyDescent="0.2">
      <c r="A1510" s="87" t="s">
        <v>291</v>
      </c>
      <c r="B1510" s="74" t="s">
        <v>226</v>
      </c>
      <c r="C1510" s="81">
        <v>949.99</v>
      </c>
    </row>
    <row r="1511" spans="1:3" x14ac:dyDescent="0.2">
      <c r="A1511" s="87" t="s">
        <v>291</v>
      </c>
      <c r="B1511" s="74" t="s">
        <v>226</v>
      </c>
      <c r="C1511" s="81">
        <v>949.99</v>
      </c>
    </row>
    <row r="1512" spans="1:3" x14ac:dyDescent="0.2">
      <c r="A1512" s="87" t="s">
        <v>291</v>
      </c>
      <c r="B1512" s="74" t="s">
        <v>226</v>
      </c>
      <c r="C1512" s="81">
        <v>949.99</v>
      </c>
    </row>
    <row r="1513" spans="1:3" x14ac:dyDescent="0.2">
      <c r="A1513" s="87" t="s">
        <v>291</v>
      </c>
      <c r="B1513" s="74" t="s">
        <v>226</v>
      </c>
      <c r="C1513" s="81">
        <v>949.99</v>
      </c>
    </row>
    <row r="1514" spans="1:3" x14ac:dyDescent="0.2">
      <c r="A1514" s="87" t="s">
        <v>291</v>
      </c>
      <c r="B1514" s="74" t="s">
        <v>226</v>
      </c>
      <c r="C1514" s="81">
        <v>949.99</v>
      </c>
    </row>
    <row r="1515" spans="1:3" x14ac:dyDescent="0.2">
      <c r="A1515" s="87" t="s">
        <v>291</v>
      </c>
      <c r="B1515" s="74" t="s">
        <v>226</v>
      </c>
      <c r="C1515" s="81">
        <v>949.99</v>
      </c>
    </row>
    <row r="1516" spans="1:3" x14ac:dyDescent="0.2">
      <c r="A1516" s="87" t="s">
        <v>291</v>
      </c>
      <c r="B1516" s="74" t="s">
        <v>226</v>
      </c>
      <c r="C1516" s="81">
        <v>949.99</v>
      </c>
    </row>
    <row r="1517" spans="1:3" x14ac:dyDescent="0.2">
      <c r="A1517" s="87" t="s">
        <v>291</v>
      </c>
      <c r="B1517" s="74" t="s">
        <v>226</v>
      </c>
      <c r="C1517" s="81">
        <v>949.99</v>
      </c>
    </row>
    <row r="1518" spans="1:3" x14ac:dyDescent="0.2">
      <c r="A1518" s="87" t="s">
        <v>291</v>
      </c>
      <c r="B1518" s="74" t="s">
        <v>226</v>
      </c>
      <c r="C1518" s="81">
        <v>949.99</v>
      </c>
    </row>
    <row r="1519" spans="1:3" x14ac:dyDescent="0.2">
      <c r="A1519" s="87" t="s">
        <v>291</v>
      </c>
      <c r="B1519" s="74" t="s">
        <v>226</v>
      </c>
      <c r="C1519" s="81">
        <v>949.99</v>
      </c>
    </row>
    <row r="1520" spans="1:3" x14ac:dyDescent="0.2">
      <c r="A1520" s="87" t="s">
        <v>291</v>
      </c>
      <c r="B1520" s="74" t="s">
        <v>226</v>
      </c>
      <c r="C1520" s="81">
        <v>949.99</v>
      </c>
    </row>
    <row r="1521" spans="1:3" x14ac:dyDescent="0.2">
      <c r="A1521" s="87" t="s">
        <v>291</v>
      </c>
      <c r="B1521" s="74" t="s">
        <v>226</v>
      </c>
      <c r="C1521" s="81">
        <v>949.99</v>
      </c>
    </row>
    <row r="1522" spans="1:3" x14ac:dyDescent="0.2">
      <c r="A1522" s="87" t="s">
        <v>291</v>
      </c>
      <c r="B1522" s="74" t="s">
        <v>226</v>
      </c>
      <c r="C1522" s="81">
        <v>949.99</v>
      </c>
    </row>
    <row r="1523" spans="1:3" x14ac:dyDescent="0.2">
      <c r="A1523" s="87" t="s">
        <v>291</v>
      </c>
      <c r="B1523" s="74" t="s">
        <v>226</v>
      </c>
      <c r="C1523" s="81">
        <v>949.99</v>
      </c>
    </row>
    <row r="1524" spans="1:3" x14ac:dyDescent="0.2">
      <c r="A1524" s="87" t="s">
        <v>291</v>
      </c>
      <c r="B1524" s="74" t="s">
        <v>226</v>
      </c>
      <c r="C1524" s="81">
        <v>949.99</v>
      </c>
    </row>
    <row r="1525" spans="1:3" x14ac:dyDescent="0.2">
      <c r="A1525" s="87" t="s">
        <v>291</v>
      </c>
      <c r="B1525" s="74" t="s">
        <v>226</v>
      </c>
      <c r="C1525" s="81">
        <v>949.99</v>
      </c>
    </row>
    <row r="1526" spans="1:3" x14ac:dyDescent="0.2">
      <c r="A1526" s="90" t="s">
        <v>291</v>
      </c>
      <c r="B1526" s="74" t="s">
        <v>226</v>
      </c>
      <c r="C1526" s="81">
        <v>949.99</v>
      </c>
    </row>
    <row r="1527" spans="1:3" x14ac:dyDescent="0.2">
      <c r="A1527" s="87" t="s">
        <v>291</v>
      </c>
      <c r="B1527" s="74" t="s">
        <v>226</v>
      </c>
      <c r="C1527" s="81">
        <v>949.99</v>
      </c>
    </row>
    <row r="1528" spans="1:3" x14ac:dyDescent="0.2">
      <c r="A1528" s="87" t="s">
        <v>291</v>
      </c>
      <c r="B1528" s="74" t="s">
        <v>226</v>
      </c>
      <c r="C1528" s="81">
        <v>949.99</v>
      </c>
    </row>
    <row r="1529" spans="1:3" x14ac:dyDescent="0.2">
      <c r="A1529" s="87" t="s">
        <v>291</v>
      </c>
      <c r="B1529" s="74" t="s">
        <v>226</v>
      </c>
      <c r="C1529" s="81">
        <v>949.99</v>
      </c>
    </row>
    <row r="1530" spans="1:3" x14ac:dyDescent="0.2">
      <c r="A1530" s="87" t="s">
        <v>291</v>
      </c>
      <c r="B1530" s="74" t="s">
        <v>226</v>
      </c>
      <c r="C1530" s="81">
        <v>949.99</v>
      </c>
    </row>
    <row r="1531" spans="1:3" x14ac:dyDescent="0.2">
      <c r="A1531" s="87" t="s">
        <v>291</v>
      </c>
      <c r="B1531" s="74" t="s">
        <v>226</v>
      </c>
      <c r="C1531" s="81">
        <v>949.99</v>
      </c>
    </row>
    <row r="1532" spans="1:3" x14ac:dyDescent="0.2">
      <c r="A1532" s="87" t="s">
        <v>291</v>
      </c>
      <c r="B1532" s="74" t="s">
        <v>226</v>
      </c>
      <c r="C1532" s="81">
        <v>949.99</v>
      </c>
    </row>
    <row r="1533" spans="1:3" x14ac:dyDescent="0.2">
      <c r="A1533" s="87" t="s">
        <v>291</v>
      </c>
      <c r="B1533" s="74" t="s">
        <v>226</v>
      </c>
      <c r="C1533" s="81">
        <v>949.99</v>
      </c>
    </row>
    <row r="1534" spans="1:3" x14ac:dyDescent="0.2">
      <c r="A1534" s="87" t="s">
        <v>291</v>
      </c>
      <c r="B1534" s="74" t="s">
        <v>226</v>
      </c>
      <c r="C1534" s="81">
        <v>949.99</v>
      </c>
    </row>
    <row r="1535" spans="1:3" x14ac:dyDescent="0.2">
      <c r="A1535" s="87" t="s">
        <v>291</v>
      </c>
      <c r="B1535" s="74" t="s">
        <v>226</v>
      </c>
      <c r="C1535" s="81">
        <v>949.99</v>
      </c>
    </row>
    <row r="1536" spans="1:3" x14ac:dyDescent="0.2">
      <c r="A1536" s="87" t="s">
        <v>291</v>
      </c>
      <c r="B1536" s="74" t="s">
        <v>226</v>
      </c>
      <c r="C1536" s="81">
        <v>949.99</v>
      </c>
    </row>
    <row r="1537" spans="1:3" x14ac:dyDescent="0.2">
      <c r="A1537" s="87" t="s">
        <v>291</v>
      </c>
      <c r="B1537" s="74" t="s">
        <v>226</v>
      </c>
      <c r="C1537" s="81">
        <v>949.99</v>
      </c>
    </row>
    <row r="1538" spans="1:3" x14ac:dyDescent="0.2">
      <c r="A1538" s="87" t="s">
        <v>291</v>
      </c>
      <c r="B1538" s="74" t="s">
        <v>226</v>
      </c>
      <c r="C1538" s="81">
        <v>949.99</v>
      </c>
    </row>
    <row r="1539" spans="1:3" x14ac:dyDescent="0.2">
      <c r="A1539" s="87" t="s">
        <v>291</v>
      </c>
      <c r="B1539" s="74" t="s">
        <v>226</v>
      </c>
      <c r="C1539" s="81">
        <v>949.99</v>
      </c>
    </row>
    <row r="1540" spans="1:3" x14ac:dyDescent="0.2">
      <c r="A1540" s="87" t="s">
        <v>291</v>
      </c>
      <c r="B1540" s="74" t="s">
        <v>226</v>
      </c>
      <c r="C1540" s="81">
        <v>949.99</v>
      </c>
    </row>
    <row r="1541" spans="1:3" x14ac:dyDescent="0.2">
      <c r="A1541" s="87" t="s">
        <v>291</v>
      </c>
      <c r="B1541" s="74" t="s">
        <v>226</v>
      </c>
      <c r="C1541" s="81">
        <v>949.99</v>
      </c>
    </row>
    <row r="1542" spans="1:3" x14ac:dyDescent="0.2">
      <c r="A1542" s="87" t="s">
        <v>291</v>
      </c>
      <c r="B1542" s="74" t="s">
        <v>226</v>
      </c>
      <c r="C1542" s="81">
        <v>950.21</v>
      </c>
    </row>
    <row r="1543" spans="1:3" x14ac:dyDescent="0.2">
      <c r="A1543" s="87" t="s">
        <v>291</v>
      </c>
      <c r="B1543" s="74" t="s">
        <v>227</v>
      </c>
      <c r="C1543" s="81">
        <v>812</v>
      </c>
    </row>
    <row r="1544" spans="1:3" x14ac:dyDescent="0.2">
      <c r="A1544" s="87" t="s">
        <v>291</v>
      </c>
      <c r="B1544" s="74" t="s">
        <v>227</v>
      </c>
      <c r="C1544" s="81">
        <v>812</v>
      </c>
    </row>
    <row r="1545" spans="1:3" x14ac:dyDescent="0.2">
      <c r="A1545" s="87" t="s">
        <v>291</v>
      </c>
      <c r="B1545" s="74" t="s">
        <v>227</v>
      </c>
      <c r="C1545" s="81">
        <v>812</v>
      </c>
    </row>
    <row r="1546" spans="1:3" x14ac:dyDescent="0.2">
      <c r="A1546" s="87" t="s">
        <v>291</v>
      </c>
      <c r="B1546" s="74" t="s">
        <v>227</v>
      </c>
      <c r="C1546" s="81">
        <v>812</v>
      </c>
    </row>
    <row r="1547" spans="1:3" x14ac:dyDescent="0.2">
      <c r="A1547" s="87" t="s">
        <v>291</v>
      </c>
      <c r="B1547" s="74" t="s">
        <v>227</v>
      </c>
      <c r="C1547" s="81">
        <v>812</v>
      </c>
    </row>
    <row r="1548" spans="1:3" x14ac:dyDescent="0.2">
      <c r="A1548" s="87" t="s">
        <v>291</v>
      </c>
      <c r="B1548" s="74" t="s">
        <v>227</v>
      </c>
      <c r="C1548" s="81">
        <v>812</v>
      </c>
    </row>
    <row r="1549" spans="1:3" x14ac:dyDescent="0.2">
      <c r="A1549" s="87" t="s">
        <v>291</v>
      </c>
      <c r="B1549" s="74" t="s">
        <v>227</v>
      </c>
      <c r="C1549" s="81">
        <v>812</v>
      </c>
    </row>
    <row r="1550" spans="1:3" x14ac:dyDescent="0.2">
      <c r="A1550" s="87" t="s">
        <v>291</v>
      </c>
      <c r="B1550" s="74" t="s">
        <v>227</v>
      </c>
      <c r="C1550" s="81">
        <v>812</v>
      </c>
    </row>
    <row r="1551" spans="1:3" x14ac:dyDescent="0.2">
      <c r="A1551" s="87" t="s">
        <v>291</v>
      </c>
      <c r="B1551" s="74" t="s">
        <v>227</v>
      </c>
      <c r="C1551" s="81">
        <v>812</v>
      </c>
    </row>
    <row r="1552" spans="1:3" x14ac:dyDescent="0.2">
      <c r="A1552" s="87" t="s">
        <v>291</v>
      </c>
      <c r="B1552" s="74" t="s">
        <v>227</v>
      </c>
      <c r="C1552" s="81">
        <v>812</v>
      </c>
    </row>
    <row r="1553" spans="1:3" x14ac:dyDescent="0.2">
      <c r="A1553" s="90" t="s">
        <v>291</v>
      </c>
      <c r="B1553" s="74" t="s">
        <v>198</v>
      </c>
      <c r="C1553" s="81">
        <v>5940</v>
      </c>
    </row>
    <row r="1554" spans="1:3" x14ac:dyDescent="0.2">
      <c r="A1554" s="87" t="s">
        <v>291</v>
      </c>
      <c r="B1554" s="74" t="s">
        <v>198</v>
      </c>
      <c r="C1554" s="81">
        <v>5940</v>
      </c>
    </row>
    <row r="1555" spans="1:3" x14ac:dyDescent="0.2">
      <c r="A1555" s="87" t="s">
        <v>291</v>
      </c>
      <c r="B1555" s="74" t="s">
        <v>198</v>
      </c>
      <c r="C1555" s="81">
        <v>5940</v>
      </c>
    </row>
    <row r="1556" spans="1:3" x14ac:dyDescent="0.2">
      <c r="A1556" s="87" t="s">
        <v>291</v>
      </c>
      <c r="B1556" s="74" t="s">
        <v>198</v>
      </c>
      <c r="C1556" s="81">
        <v>5940</v>
      </c>
    </row>
    <row r="1557" spans="1:3" x14ac:dyDescent="0.2">
      <c r="A1557" s="87" t="s">
        <v>291</v>
      </c>
      <c r="B1557" s="74" t="s">
        <v>198</v>
      </c>
      <c r="C1557" s="81">
        <v>5940</v>
      </c>
    </row>
    <row r="1558" spans="1:3" x14ac:dyDescent="0.2">
      <c r="A1558" s="87" t="s">
        <v>291</v>
      </c>
      <c r="B1558" s="74" t="s">
        <v>198</v>
      </c>
      <c r="C1558" s="81">
        <v>5940</v>
      </c>
    </row>
    <row r="1559" spans="1:3" x14ac:dyDescent="0.2">
      <c r="A1559" s="87" t="s">
        <v>291</v>
      </c>
      <c r="B1559" s="74" t="s">
        <v>198</v>
      </c>
      <c r="C1559" s="81">
        <v>5940</v>
      </c>
    </row>
    <row r="1560" spans="1:3" x14ac:dyDescent="0.2">
      <c r="A1560" s="87" t="s">
        <v>291</v>
      </c>
      <c r="B1560" s="74" t="s">
        <v>198</v>
      </c>
      <c r="C1560" s="81">
        <v>5940</v>
      </c>
    </row>
    <row r="1561" spans="1:3" x14ac:dyDescent="0.2">
      <c r="A1561" s="87" t="s">
        <v>291</v>
      </c>
      <c r="B1561" s="74" t="s">
        <v>198</v>
      </c>
      <c r="C1561" s="81">
        <v>5940</v>
      </c>
    </row>
    <row r="1562" spans="1:3" x14ac:dyDescent="0.2">
      <c r="A1562" s="87" t="s">
        <v>291</v>
      </c>
      <c r="B1562" s="74" t="s">
        <v>198</v>
      </c>
      <c r="C1562" s="81">
        <v>5940</v>
      </c>
    </row>
    <row r="1563" spans="1:3" ht="25.5" x14ac:dyDescent="0.2">
      <c r="A1563" s="90" t="s">
        <v>291</v>
      </c>
      <c r="B1563" s="74" t="s">
        <v>228</v>
      </c>
      <c r="C1563" s="81">
        <v>8120</v>
      </c>
    </row>
    <row r="1564" spans="1:3" ht="25.5" x14ac:dyDescent="0.2">
      <c r="A1564" s="90" t="s">
        <v>291</v>
      </c>
      <c r="B1564" s="74" t="s">
        <v>228</v>
      </c>
      <c r="C1564" s="81">
        <v>8120</v>
      </c>
    </row>
    <row r="1565" spans="1:3" ht="38.25" x14ac:dyDescent="0.2">
      <c r="A1565" s="90" t="s">
        <v>291</v>
      </c>
      <c r="B1565" s="74" t="s">
        <v>229</v>
      </c>
      <c r="C1565" s="81">
        <v>5340</v>
      </c>
    </row>
    <row r="1566" spans="1:3" ht="38.25" x14ac:dyDescent="0.2">
      <c r="A1566" s="87" t="s">
        <v>291</v>
      </c>
      <c r="B1566" s="74" t="s">
        <v>230</v>
      </c>
      <c r="C1566" s="81">
        <v>5340</v>
      </c>
    </row>
    <row r="1567" spans="1:3" ht="38.25" x14ac:dyDescent="0.2">
      <c r="A1567" s="87" t="s">
        <v>291</v>
      </c>
      <c r="B1567" s="74" t="s">
        <v>230</v>
      </c>
      <c r="C1567" s="81">
        <v>5340</v>
      </c>
    </row>
    <row r="1568" spans="1:3" ht="38.25" x14ac:dyDescent="0.2">
      <c r="A1568" s="87" t="s">
        <v>291</v>
      </c>
      <c r="B1568" s="74" t="s">
        <v>230</v>
      </c>
      <c r="C1568" s="81">
        <v>5340.01</v>
      </c>
    </row>
    <row r="1569" spans="1:3" x14ac:dyDescent="0.2">
      <c r="A1569" s="90" t="s">
        <v>291</v>
      </c>
      <c r="B1569" s="74" t="s">
        <v>231</v>
      </c>
      <c r="C1569" s="81">
        <v>5420</v>
      </c>
    </row>
    <row r="1570" spans="1:3" x14ac:dyDescent="0.2">
      <c r="A1570" s="90" t="s">
        <v>291</v>
      </c>
      <c r="B1570" s="74" t="s">
        <v>231</v>
      </c>
      <c r="C1570" s="81">
        <v>5419.99</v>
      </c>
    </row>
    <row r="1571" spans="1:3" x14ac:dyDescent="0.2">
      <c r="A1571" s="87" t="s">
        <v>291</v>
      </c>
      <c r="B1571" s="74" t="s">
        <v>232</v>
      </c>
      <c r="C1571" s="81">
        <v>33260.01</v>
      </c>
    </row>
    <row r="1572" spans="1:3" x14ac:dyDescent="0.2">
      <c r="A1572" s="87" t="s">
        <v>291</v>
      </c>
      <c r="B1572" s="74" t="s">
        <v>233</v>
      </c>
      <c r="C1572" s="81">
        <v>5890</v>
      </c>
    </row>
    <row r="1573" spans="1:3" x14ac:dyDescent="0.2">
      <c r="A1573" s="87" t="s">
        <v>291</v>
      </c>
      <c r="B1573" s="74" t="s">
        <v>233</v>
      </c>
      <c r="C1573" s="81">
        <v>5890</v>
      </c>
    </row>
    <row r="1574" spans="1:3" x14ac:dyDescent="0.2">
      <c r="A1574" s="87" t="s">
        <v>291</v>
      </c>
      <c r="B1574" s="74" t="s">
        <v>233</v>
      </c>
      <c r="C1574" s="81">
        <v>5890</v>
      </c>
    </row>
    <row r="1575" spans="1:3" x14ac:dyDescent="0.2">
      <c r="A1575" s="87" t="s">
        <v>291</v>
      </c>
      <c r="B1575" s="74" t="s">
        <v>233</v>
      </c>
      <c r="C1575" s="81">
        <v>5890</v>
      </c>
    </row>
    <row r="1576" spans="1:3" x14ac:dyDescent="0.2">
      <c r="A1576" s="87" t="s">
        <v>291</v>
      </c>
      <c r="B1576" s="74" t="s">
        <v>234</v>
      </c>
      <c r="C1576" s="81">
        <v>10210</v>
      </c>
    </row>
    <row r="1577" spans="1:3" x14ac:dyDescent="0.2">
      <c r="A1577" s="87" t="s">
        <v>291</v>
      </c>
      <c r="B1577" s="74" t="s">
        <v>234</v>
      </c>
      <c r="C1577" s="81">
        <v>10210</v>
      </c>
    </row>
    <row r="1578" spans="1:3" x14ac:dyDescent="0.2">
      <c r="A1578" s="87" t="s">
        <v>291</v>
      </c>
      <c r="B1578" s="74" t="s">
        <v>235</v>
      </c>
      <c r="C1578" s="81">
        <v>99085</v>
      </c>
    </row>
    <row r="1579" spans="1:3" x14ac:dyDescent="0.2">
      <c r="A1579" s="87" t="s">
        <v>291</v>
      </c>
      <c r="B1579" s="74" t="s">
        <v>235</v>
      </c>
      <c r="C1579" s="81">
        <v>99085</v>
      </c>
    </row>
    <row r="1580" spans="1:3" x14ac:dyDescent="0.2">
      <c r="A1580" s="87" t="s">
        <v>291</v>
      </c>
      <c r="B1580" s="74" t="s">
        <v>236</v>
      </c>
      <c r="C1580" s="81">
        <v>19180.009999999998</v>
      </c>
    </row>
    <row r="1581" spans="1:3" x14ac:dyDescent="0.2">
      <c r="A1581" s="87" t="s">
        <v>291</v>
      </c>
      <c r="B1581" s="74" t="s">
        <v>236</v>
      </c>
      <c r="C1581" s="81">
        <v>19180.009999999998</v>
      </c>
    </row>
    <row r="1582" spans="1:3" x14ac:dyDescent="0.2">
      <c r="A1582" s="87" t="s">
        <v>291</v>
      </c>
      <c r="B1582" s="74" t="s">
        <v>237</v>
      </c>
      <c r="C1582" s="81">
        <v>9500.0499999999993</v>
      </c>
    </row>
    <row r="1583" spans="1:3" ht="270" customHeight="1" x14ac:dyDescent="0.2">
      <c r="A1583" s="90" t="s">
        <v>291</v>
      </c>
      <c r="B1583" s="74" t="s">
        <v>238</v>
      </c>
      <c r="C1583" s="81">
        <v>112000</v>
      </c>
    </row>
    <row r="1584" spans="1:3" ht="33" customHeight="1" x14ac:dyDescent="0.2">
      <c r="A1584" s="90" t="s">
        <v>291</v>
      </c>
      <c r="B1584" s="74" t="s">
        <v>1505</v>
      </c>
      <c r="C1584" s="81">
        <v>12171.62</v>
      </c>
    </row>
    <row r="1585" spans="1:3" ht="31.5" customHeight="1" x14ac:dyDescent="0.2">
      <c r="A1585" s="90" t="s">
        <v>291</v>
      </c>
      <c r="B1585" s="74" t="s">
        <v>1505</v>
      </c>
      <c r="C1585" s="81">
        <v>12171.63</v>
      </c>
    </row>
    <row r="1586" spans="1:3" ht="18.75" customHeight="1" x14ac:dyDescent="0.2">
      <c r="A1586" s="87" t="s">
        <v>291</v>
      </c>
      <c r="B1586" s="74" t="s">
        <v>239</v>
      </c>
      <c r="C1586" s="81">
        <v>12820</v>
      </c>
    </row>
    <row r="1587" spans="1:3" ht="18" customHeight="1" x14ac:dyDescent="0.2">
      <c r="A1587" s="87" t="s">
        <v>291</v>
      </c>
      <c r="B1587" s="88" t="s">
        <v>236</v>
      </c>
      <c r="C1587" s="81">
        <v>4295.59</v>
      </c>
    </row>
    <row r="1588" spans="1:3" ht="25.5" x14ac:dyDescent="0.2">
      <c r="A1588" s="87" t="s">
        <v>291</v>
      </c>
      <c r="B1588" s="74" t="s">
        <v>240</v>
      </c>
      <c r="C1588" s="81">
        <v>9395</v>
      </c>
    </row>
    <row r="1589" spans="1:3" ht="15.95" customHeight="1" x14ac:dyDescent="0.2">
      <c r="A1589" s="90" t="s">
        <v>291</v>
      </c>
      <c r="B1589" s="74" t="s">
        <v>241</v>
      </c>
      <c r="C1589" s="81">
        <v>4995</v>
      </c>
    </row>
    <row r="1590" spans="1:3" ht="15.95" customHeight="1" x14ac:dyDescent="0.2">
      <c r="A1590" s="87" t="s">
        <v>291</v>
      </c>
      <c r="B1590" s="74" t="s">
        <v>242</v>
      </c>
      <c r="C1590" s="81">
        <v>6380</v>
      </c>
    </row>
    <row r="1591" spans="1:3" ht="25.5" x14ac:dyDescent="0.2">
      <c r="A1591" s="87" t="s">
        <v>291</v>
      </c>
      <c r="B1591" s="74" t="s">
        <v>243</v>
      </c>
      <c r="C1591" s="81">
        <v>10500</v>
      </c>
    </row>
    <row r="1592" spans="1:3" ht="25.5" x14ac:dyDescent="0.2">
      <c r="A1592" s="87" t="s">
        <v>291</v>
      </c>
      <c r="B1592" s="74" t="s">
        <v>243</v>
      </c>
      <c r="C1592" s="81">
        <v>10500</v>
      </c>
    </row>
    <row r="1593" spans="1:3" ht="25.5" x14ac:dyDescent="0.2">
      <c r="A1593" s="87" t="s">
        <v>291</v>
      </c>
      <c r="B1593" s="74" t="s">
        <v>244</v>
      </c>
      <c r="C1593" s="81">
        <v>10500</v>
      </c>
    </row>
    <row r="1594" spans="1:3" x14ac:dyDescent="0.2">
      <c r="A1594" s="87" t="s">
        <v>291</v>
      </c>
      <c r="B1594" s="74" t="s">
        <v>245</v>
      </c>
      <c r="C1594" s="81">
        <v>2899</v>
      </c>
    </row>
    <row r="1595" spans="1:3" x14ac:dyDescent="0.2">
      <c r="A1595" s="90" t="s">
        <v>291</v>
      </c>
      <c r="B1595" s="74" t="s">
        <v>246</v>
      </c>
      <c r="C1595" s="81">
        <v>13550</v>
      </c>
    </row>
    <row r="1596" spans="1:3" x14ac:dyDescent="0.2">
      <c r="A1596" s="87" t="s">
        <v>291</v>
      </c>
      <c r="B1596" s="74" t="s">
        <v>247</v>
      </c>
      <c r="C1596" s="81">
        <v>12796</v>
      </c>
    </row>
    <row r="1597" spans="1:3" x14ac:dyDescent="0.2">
      <c r="A1597" s="87" t="s">
        <v>291</v>
      </c>
      <c r="B1597" s="74" t="s">
        <v>247</v>
      </c>
      <c r="C1597" s="81">
        <v>12796</v>
      </c>
    </row>
    <row r="1598" spans="1:3" x14ac:dyDescent="0.2">
      <c r="A1598" s="90" t="s">
        <v>291</v>
      </c>
      <c r="B1598" s="74" t="s">
        <v>248</v>
      </c>
      <c r="C1598" s="81">
        <v>7690</v>
      </c>
    </row>
    <row r="1599" spans="1:3" x14ac:dyDescent="0.2">
      <c r="A1599" s="90" t="s">
        <v>291</v>
      </c>
      <c r="B1599" s="74" t="s">
        <v>249</v>
      </c>
      <c r="C1599" s="81">
        <v>24000.400000000001</v>
      </c>
    </row>
    <row r="1600" spans="1:3" x14ac:dyDescent="0.2">
      <c r="A1600" s="87" t="s">
        <v>291</v>
      </c>
      <c r="B1600" s="74" t="s">
        <v>250</v>
      </c>
      <c r="C1600" s="81">
        <v>754.28</v>
      </c>
    </row>
    <row r="1601" spans="1:3" x14ac:dyDescent="0.2">
      <c r="A1601" s="87" t="s">
        <v>291</v>
      </c>
      <c r="B1601" s="74" t="s">
        <v>250</v>
      </c>
      <c r="C1601" s="81">
        <v>754.28</v>
      </c>
    </row>
    <row r="1602" spans="1:3" x14ac:dyDescent="0.2">
      <c r="A1602" s="87" t="s">
        <v>291</v>
      </c>
      <c r="B1602" s="74" t="s">
        <v>250</v>
      </c>
      <c r="C1602" s="81">
        <v>754.28</v>
      </c>
    </row>
    <row r="1603" spans="1:3" x14ac:dyDescent="0.2">
      <c r="A1603" s="87" t="s">
        <v>291</v>
      </c>
      <c r="B1603" s="74" t="s">
        <v>250</v>
      </c>
      <c r="C1603" s="81">
        <v>754.28</v>
      </c>
    </row>
    <row r="1604" spans="1:3" x14ac:dyDescent="0.2">
      <c r="A1604" s="87" t="s">
        <v>291</v>
      </c>
      <c r="B1604" s="74" t="s">
        <v>250</v>
      </c>
      <c r="C1604" s="81">
        <v>754.28</v>
      </c>
    </row>
    <row r="1605" spans="1:3" x14ac:dyDescent="0.2">
      <c r="A1605" s="87" t="s">
        <v>291</v>
      </c>
      <c r="B1605" s="74" t="s">
        <v>250</v>
      </c>
      <c r="C1605" s="81">
        <v>754.28</v>
      </c>
    </row>
    <row r="1606" spans="1:3" x14ac:dyDescent="0.2">
      <c r="A1606" s="87" t="s">
        <v>291</v>
      </c>
      <c r="B1606" s="74" t="s">
        <v>250</v>
      </c>
      <c r="C1606" s="81">
        <v>754.28</v>
      </c>
    </row>
    <row r="1607" spans="1:3" x14ac:dyDescent="0.2">
      <c r="A1607" s="87" t="s">
        <v>291</v>
      </c>
      <c r="B1607" s="74" t="s">
        <v>250</v>
      </c>
      <c r="C1607" s="81">
        <v>754.28</v>
      </c>
    </row>
    <row r="1608" spans="1:3" x14ac:dyDescent="0.2">
      <c r="A1608" s="87" t="s">
        <v>291</v>
      </c>
      <c r="B1608" s="74" t="s">
        <v>250</v>
      </c>
      <c r="C1608" s="81">
        <v>754.28</v>
      </c>
    </row>
    <row r="1609" spans="1:3" x14ac:dyDescent="0.2">
      <c r="A1609" s="87" t="s">
        <v>291</v>
      </c>
      <c r="B1609" s="74" t="s">
        <v>250</v>
      </c>
      <c r="C1609" s="81">
        <v>754.28</v>
      </c>
    </row>
    <row r="1610" spans="1:3" x14ac:dyDescent="0.2">
      <c r="A1610" s="87" t="s">
        <v>291</v>
      </c>
      <c r="B1610" s="74" t="s">
        <v>250</v>
      </c>
      <c r="C1610" s="81">
        <v>754.28</v>
      </c>
    </row>
    <row r="1611" spans="1:3" x14ac:dyDescent="0.2">
      <c r="A1611" s="87" t="s">
        <v>291</v>
      </c>
      <c r="B1611" s="74" t="s">
        <v>250</v>
      </c>
      <c r="C1611" s="81">
        <v>754.28</v>
      </c>
    </row>
    <row r="1612" spans="1:3" x14ac:dyDescent="0.2">
      <c r="A1612" s="87" t="s">
        <v>291</v>
      </c>
      <c r="B1612" s="74" t="s">
        <v>250</v>
      </c>
      <c r="C1612" s="81">
        <v>754.28</v>
      </c>
    </row>
    <row r="1613" spans="1:3" x14ac:dyDescent="0.2">
      <c r="A1613" s="87" t="s">
        <v>291</v>
      </c>
      <c r="B1613" s="74" t="s">
        <v>250</v>
      </c>
      <c r="C1613" s="81">
        <v>754.28</v>
      </c>
    </row>
    <row r="1614" spans="1:3" x14ac:dyDescent="0.2">
      <c r="A1614" s="87" t="s">
        <v>291</v>
      </c>
      <c r="B1614" s="74" t="s">
        <v>250</v>
      </c>
      <c r="C1614" s="81">
        <v>754.28</v>
      </c>
    </row>
    <row r="1615" spans="1:3" x14ac:dyDescent="0.2">
      <c r="A1615" s="87" t="s">
        <v>291</v>
      </c>
      <c r="B1615" s="74" t="s">
        <v>250</v>
      </c>
      <c r="C1615" s="81">
        <v>754.28</v>
      </c>
    </row>
    <row r="1616" spans="1:3" x14ac:dyDescent="0.2">
      <c r="A1616" s="87" t="s">
        <v>291</v>
      </c>
      <c r="B1616" s="74" t="s">
        <v>250</v>
      </c>
      <c r="C1616" s="81">
        <v>754.28</v>
      </c>
    </row>
    <row r="1617" spans="1:3" x14ac:dyDescent="0.2">
      <c r="A1617" s="87" t="s">
        <v>291</v>
      </c>
      <c r="B1617" s="74" t="s">
        <v>250</v>
      </c>
      <c r="C1617" s="81">
        <v>754.28</v>
      </c>
    </row>
    <row r="1618" spans="1:3" x14ac:dyDescent="0.2">
      <c r="A1618" s="87" t="s">
        <v>291</v>
      </c>
      <c r="B1618" s="74" t="s">
        <v>250</v>
      </c>
      <c r="C1618" s="81">
        <v>754.28</v>
      </c>
    </row>
    <row r="1619" spans="1:3" x14ac:dyDescent="0.2">
      <c r="A1619" s="87" t="s">
        <v>291</v>
      </c>
      <c r="B1619" s="74" t="s">
        <v>250</v>
      </c>
      <c r="C1619" s="81">
        <v>754.28</v>
      </c>
    </row>
    <row r="1620" spans="1:3" x14ac:dyDescent="0.2">
      <c r="A1620" s="87" t="s">
        <v>291</v>
      </c>
      <c r="B1620" s="74" t="s">
        <v>250</v>
      </c>
      <c r="C1620" s="81">
        <v>754.28</v>
      </c>
    </row>
    <row r="1621" spans="1:3" x14ac:dyDescent="0.2">
      <c r="A1621" s="87" t="s">
        <v>291</v>
      </c>
      <c r="B1621" s="74" t="s">
        <v>250</v>
      </c>
      <c r="C1621" s="81">
        <v>754.28</v>
      </c>
    </row>
    <row r="1622" spans="1:3" x14ac:dyDescent="0.2">
      <c r="A1622" s="87" t="s">
        <v>291</v>
      </c>
      <c r="B1622" s="74" t="s">
        <v>250</v>
      </c>
      <c r="C1622" s="81">
        <v>754.28</v>
      </c>
    </row>
    <row r="1623" spans="1:3" x14ac:dyDescent="0.2">
      <c r="A1623" s="90" t="s">
        <v>291</v>
      </c>
      <c r="B1623" s="74" t="s">
        <v>249</v>
      </c>
      <c r="C1623" s="81">
        <v>600.01</v>
      </c>
    </row>
    <row r="1624" spans="1:3" ht="25.5" x14ac:dyDescent="0.2">
      <c r="A1624" s="87" t="s">
        <v>291</v>
      </c>
      <c r="B1624" s="74" t="s">
        <v>251</v>
      </c>
      <c r="C1624" s="81">
        <v>6899</v>
      </c>
    </row>
    <row r="1625" spans="1:3" ht="25.5" x14ac:dyDescent="0.2">
      <c r="A1625" s="87" t="s">
        <v>291</v>
      </c>
      <c r="B1625" s="74" t="s">
        <v>251</v>
      </c>
      <c r="C1625" s="81">
        <v>6899</v>
      </c>
    </row>
    <row r="1626" spans="1:3" ht="25.5" x14ac:dyDescent="0.2">
      <c r="A1626" s="87" t="s">
        <v>291</v>
      </c>
      <c r="B1626" s="74" t="s">
        <v>251</v>
      </c>
      <c r="C1626" s="81">
        <v>6899</v>
      </c>
    </row>
    <row r="1627" spans="1:3" ht="25.5" x14ac:dyDescent="0.2">
      <c r="A1627" s="87" t="s">
        <v>291</v>
      </c>
      <c r="B1627" s="74" t="s">
        <v>251</v>
      </c>
      <c r="C1627" s="81">
        <v>6899</v>
      </c>
    </row>
    <row r="1628" spans="1:3" x14ac:dyDescent="0.2">
      <c r="A1628" s="87" t="s">
        <v>291</v>
      </c>
      <c r="B1628" s="74" t="s">
        <v>252</v>
      </c>
      <c r="C1628" s="81">
        <v>437.73</v>
      </c>
    </row>
    <row r="1629" spans="1:3" x14ac:dyDescent="0.2">
      <c r="A1629" s="87" t="s">
        <v>291</v>
      </c>
      <c r="B1629" s="74" t="s">
        <v>252</v>
      </c>
      <c r="C1629" s="81">
        <v>437.73</v>
      </c>
    </row>
    <row r="1630" spans="1:3" x14ac:dyDescent="0.2">
      <c r="A1630" s="87" t="s">
        <v>291</v>
      </c>
      <c r="B1630" s="74" t="s">
        <v>252</v>
      </c>
      <c r="C1630" s="81">
        <v>437.73</v>
      </c>
    </row>
    <row r="1631" spans="1:3" x14ac:dyDescent="0.2">
      <c r="A1631" s="87" t="s">
        <v>291</v>
      </c>
      <c r="B1631" s="74" t="s">
        <v>252</v>
      </c>
      <c r="C1631" s="81">
        <v>437.73</v>
      </c>
    </row>
    <row r="1632" spans="1:3" x14ac:dyDescent="0.2">
      <c r="A1632" s="87" t="s">
        <v>291</v>
      </c>
      <c r="B1632" s="74" t="s">
        <v>252</v>
      </c>
      <c r="C1632" s="81">
        <v>437.73</v>
      </c>
    </row>
    <row r="1633" spans="1:3" x14ac:dyDescent="0.2">
      <c r="A1633" s="87" t="s">
        <v>291</v>
      </c>
      <c r="B1633" s="74" t="s">
        <v>252</v>
      </c>
      <c r="C1633" s="81">
        <v>437.73</v>
      </c>
    </row>
    <row r="1634" spans="1:3" x14ac:dyDescent="0.2">
      <c r="A1634" s="87" t="s">
        <v>291</v>
      </c>
      <c r="B1634" s="74" t="s">
        <v>252</v>
      </c>
      <c r="C1634" s="81">
        <v>437.73</v>
      </c>
    </row>
    <row r="1635" spans="1:3" x14ac:dyDescent="0.2">
      <c r="A1635" s="87" t="s">
        <v>291</v>
      </c>
      <c r="B1635" s="74" t="s">
        <v>252</v>
      </c>
      <c r="C1635" s="81">
        <v>437.73</v>
      </c>
    </row>
    <row r="1636" spans="1:3" x14ac:dyDescent="0.2">
      <c r="A1636" s="87" t="s">
        <v>291</v>
      </c>
      <c r="B1636" s="74" t="s">
        <v>252</v>
      </c>
      <c r="C1636" s="81">
        <v>437.73</v>
      </c>
    </row>
    <row r="1637" spans="1:3" x14ac:dyDescent="0.2">
      <c r="A1637" s="87" t="s">
        <v>291</v>
      </c>
      <c r="B1637" s="74" t="s">
        <v>252</v>
      </c>
      <c r="C1637" s="81">
        <v>437.73</v>
      </c>
    </row>
    <row r="1638" spans="1:3" x14ac:dyDescent="0.2">
      <c r="A1638" s="87" t="s">
        <v>291</v>
      </c>
      <c r="B1638" s="74" t="s">
        <v>252</v>
      </c>
      <c r="C1638" s="81">
        <v>437.73</v>
      </c>
    </row>
    <row r="1639" spans="1:3" x14ac:dyDescent="0.2">
      <c r="A1639" s="87" t="s">
        <v>291</v>
      </c>
      <c r="B1639" s="74" t="s">
        <v>252</v>
      </c>
      <c r="C1639" s="81">
        <v>437.73</v>
      </c>
    </row>
    <row r="1640" spans="1:3" x14ac:dyDescent="0.2">
      <c r="A1640" s="87" t="s">
        <v>291</v>
      </c>
      <c r="B1640" s="74" t="s">
        <v>252</v>
      </c>
      <c r="C1640" s="81">
        <v>437.73</v>
      </c>
    </row>
    <row r="1641" spans="1:3" x14ac:dyDescent="0.2">
      <c r="A1641" s="90" t="s">
        <v>291</v>
      </c>
      <c r="B1641" s="74" t="s">
        <v>249</v>
      </c>
      <c r="C1641" s="81">
        <v>600.01</v>
      </c>
    </row>
    <row r="1642" spans="1:3" x14ac:dyDescent="0.2">
      <c r="A1642" s="90" t="s">
        <v>291</v>
      </c>
      <c r="B1642" s="74" t="s">
        <v>249</v>
      </c>
      <c r="C1642" s="81">
        <v>600.01</v>
      </c>
    </row>
    <row r="1643" spans="1:3" x14ac:dyDescent="0.2">
      <c r="A1643" s="90" t="s">
        <v>291</v>
      </c>
      <c r="B1643" s="74" t="s">
        <v>249</v>
      </c>
      <c r="C1643" s="81">
        <v>600.01</v>
      </c>
    </row>
    <row r="1644" spans="1:3" x14ac:dyDescent="0.2">
      <c r="A1644" s="90" t="s">
        <v>291</v>
      </c>
      <c r="B1644" s="74" t="s">
        <v>249</v>
      </c>
      <c r="C1644" s="81">
        <v>600.01</v>
      </c>
    </row>
    <row r="1645" spans="1:3" x14ac:dyDescent="0.2">
      <c r="A1645" s="90" t="s">
        <v>291</v>
      </c>
      <c r="B1645" s="74" t="s">
        <v>249</v>
      </c>
      <c r="C1645" s="81">
        <v>600.01</v>
      </c>
    </row>
    <row r="1646" spans="1:3" x14ac:dyDescent="0.2">
      <c r="A1646" s="90" t="s">
        <v>291</v>
      </c>
      <c r="B1646" s="74" t="s">
        <v>249</v>
      </c>
      <c r="C1646" s="81">
        <v>600.01</v>
      </c>
    </row>
    <row r="1647" spans="1:3" x14ac:dyDescent="0.2">
      <c r="A1647" s="90" t="s">
        <v>291</v>
      </c>
      <c r="B1647" s="74" t="s">
        <v>249</v>
      </c>
      <c r="C1647" s="81">
        <v>600.01</v>
      </c>
    </row>
    <row r="1648" spans="1:3" x14ac:dyDescent="0.2">
      <c r="A1648" s="90" t="s">
        <v>291</v>
      </c>
      <c r="B1648" s="74" t="s">
        <v>249</v>
      </c>
      <c r="C1648" s="81">
        <v>600.01</v>
      </c>
    </row>
    <row r="1649" spans="1:3" x14ac:dyDescent="0.2">
      <c r="A1649" s="90" t="s">
        <v>291</v>
      </c>
      <c r="B1649" s="74" t="s">
        <v>249</v>
      </c>
      <c r="C1649" s="81">
        <v>600.01</v>
      </c>
    </row>
    <row r="1650" spans="1:3" x14ac:dyDescent="0.2">
      <c r="A1650" s="90" t="s">
        <v>291</v>
      </c>
      <c r="B1650" s="74" t="s">
        <v>249</v>
      </c>
      <c r="C1650" s="81">
        <v>600.01</v>
      </c>
    </row>
    <row r="1651" spans="1:3" x14ac:dyDescent="0.2">
      <c r="A1651" s="90" t="s">
        <v>291</v>
      </c>
      <c r="B1651" s="74" t="s">
        <v>249</v>
      </c>
      <c r="C1651" s="81">
        <v>600.01</v>
      </c>
    </row>
    <row r="1652" spans="1:3" x14ac:dyDescent="0.2">
      <c r="A1652" s="90" t="s">
        <v>291</v>
      </c>
      <c r="B1652" s="74" t="s">
        <v>249</v>
      </c>
      <c r="C1652" s="81">
        <v>600.01</v>
      </c>
    </row>
    <row r="1653" spans="1:3" x14ac:dyDescent="0.2">
      <c r="A1653" s="90" t="s">
        <v>291</v>
      </c>
      <c r="B1653" s="74" t="s">
        <v>249</v>
      </c>
      <c r="C1653" s="81">
        <v>600.01</v>
      </c>
    </row>
    <row r="1654" spans="1:3" x14ac:dyDescent="0.2">
      <c r="A1654" s="90" t="s">
        <v>291</v>
      </c>
      <c r="B1654" s="74" t="s">
        <v>249</v>
      </c>
      <c r="C1654" s="81">
        <v>600.01</v>
      </c>
    </row>
    <row r="1655" spans="1:3" x14ac:dyDescent="0.2">
      <c r="A1655" s="90" t="s">
        <v>291</v>
      </c>
      <c r="B1655" s="74" t="s">
        <v>249</v>
      </c>
      <c r="C1655" s="81">
        <v>600.01</v>
      </c>
    </row>
    <row r="1656" spans="1:3" x14ac:dyDescent="0.2">
      <c r="A1656" s="90" t="s">
        <v>291</v>
      </c>
      <c r="B1656" s="74" t="s">
        <v>249</v>
      </c>
      <c r="C1656" s="81">
        <v>600.01</v>
      </c>
    </row>
    <row r="1657" spans="1:3" x14ac:dyDescent="0.2">
      <c r="A1657" s="90" t="s">
        <v>291</v>
      </c>
      <c r="B1657" s="74" t="s">
        <v>249</v>
      </c>
      <c r="C1657" s="81">
        <v>600.01</v>
      </c>
    </row>
    <row r="1658" spans="1:3" x14ac:dyDescent="0.2">
      <c r="A1658" s="90" t="s">
        <v>291</v>
      </c>
      <c r="B1658" s="74" t="s">
        <v>249</v>
      </c>
      <c r="C1658" s="81">
        <v>600.01</v>
      </c>
    </row>
    <row r="1659" spans="1:3" x14ac:dyDescent="0.2">
      <c r="A1659" s="90" t="s">
        <v>291</v>
      </c>
      <c r="B1659" s="74" t="s">
        <v>249</v>
      </c>
      <c r="C1659" s="81">
        <v>600.01</v>
      </c>
    </row>
    <row r="1660" spans="1:3" x14ac:dyDescent="0.2">
      <c r="A1660" s="90" t="s">
        <v>291</v>
      </c>
      <c r="B1660" s="74" t="s">
        <v>249</v>
      </c>
      <c r="C1660" s="81">
        <v>600.01</v>
      </c>
    </row>
    <row r="1661" spans="1:3" x14ac:dyDescent="0.2">
      <c r="A1661" s="90" t="s">
        <v>291</v>
      </c>
      <c r="B1661" s="74" t="s">
        <v>249</v>
      </c>
      <c r="C1661" s="81">
        <v>600.01</v>
      </c>
    </row>
    <row r="1662" spans="1:3" x14ac:dyDescent="0.2">
      <c r="A1662" s="90" t="s">
        <v>291</v>
      </c>
      <c r="B1662" s="74" t="s">
        <v>249</v>
      </c>
      <c r="C1662" s="81">
        <v>600.01</v>
      </c>
    </row>
    <row r="1663" spans="1:3" x14ac:dyDescent="0.2">
      <c r="A1663" s="90" t="s">
        <v>291</v>
      </c>
      <c r="B1663" s="74" t="s">
        <v>249</v>
      </c>
      <c r="C1663" s="81">
        <v>600.01</v>
      </c>
    </row>
    <row r="1664" spans="1:3" x14ac:dyDescent="0.2">
      <c r="A1664" s="90" t="s">
        <v>291</v>
      </c>
      <c r="B1664" s="74" t="s">
        <v>249</v>
      </c>
      <c r="C1664" s="81">
        <v>600.01</v>
      </c>
    </row>
    <row r="1665" spans="1:3" x14ac:dyDescent="0.2">
      <c r="A1665" s="90" t="s">
        <v>291</v>
      </c>
      <c r="B1665" s="74" t="s">
        <v>249</v>
      </c>
      <c r="C1665" s="81">
        <v>600.01</v>
      </c>
    </row>
    <row r="1666" spans="1:3" x14ac:dyDescent="0.2">
      <c r="A1666" s="90" t="s">
        <v>291</v>
      </c>
      <c r="B1666" s="74" t="s">
        <v>249</v>
      </c>
      <c r="C1666" s="81">
        <v>600.01</v>
      </c>
    </row>
    <row r="1667" spans="1:3" x14ac:dyDescent="0.2">
      <c r="A1667" s="90" t="s">
        <v>291</v>
      </c>
      <c r="B1667" s="74" t="s">
        <v>249</v>
      </c>
      <c r="C1667" s="81">
        <v>600.01</v>
      </c>
    </row>
    <row r="1668" spans="1:3" x14ac:dyDescent="0.2">
      <c r="A1668" s="90" t="s">
        <v>291</v>
      </c>
      <c r="B1668" s="74" t="s">
        <v>249</v>
      </c>
      <c r="C1668" s="81">
        <v>600.01</v>
      </c>
    </row>
    <row r="1669" spans="1:3" x14ac:dyDescent="0.2">
      <c r="A1669" s="87" t="s">
        <v>291</v>
      </c>
      <c r="B1669" s="74" t="s">
        <v>252</v>
      </c>
      <c r="C1669" s="81">
        <v>437.75</v>
      </c>
    </row>
    <row r="1670" spans="1:3" x14ac:dyDescent="0.2">
      <c r="A1670" s="87" t="s">
        <v>291</v>
      </c>
      <c r="B1670" s="74" t="s">
        <v>252</v>
      </c>
      <c r="C1670" s="81">
        <v>437.76</v>
      </c>
    </row>
    <row r="1671" spans="1:3" ht="25.5" x14ac:dyDescent="0.2">
      <c r="A1671" s="87" t="s">
        <v>291</v>
      </c>
      <c r="B1671" s="74" t="s">
        <v>251</v>
      </c>
      <c r="C1671" s="81">
        <v>6899</v>
      </c>
    </row>
    <row r="1672" spans="1:3" ht="25.5" x14ac:dyDescent="0.2">
      <c r="A1672" s="87" t="s">
        <v>291</v>
      </c>
      <c r="B1672" s="74" t="s">
        <v>251</v>
      </c>
      <c r="C1672" s="81">
        <v>6899</v>
      </c>
    </row>
    <row r="1673" spans="1:3" ht="25.5" x14ac:dyDescent="0.2">
      <c r="A1673" s="87" t="s">
        <v>291</v>
      </c>
      <c r="B1673" s="74" t="s">
        <v>251</v>
      </c>
      <c r="C1673" s="81">
        <v>6899</v>
      </c>
    </row>
    <row r="1674" spans="1:3" ht="25.5" x14ac:dyDescent="0.2">
      <c r="A1674" s="87" t="s">
        <v>291</v>
      </c>
      <c r="B1674" s="74" t="s">
        <v>251</v>
      </c>
      <c r="C1674" s="81">
        <v>6899</v>
      </c>
    </row>
    <row r="1675" spans="1:3" x14ac:dyDescent="0.2">
      <c r="A1675" s="87" t="s">
        <v>291</v>
      </c>
      <c r="B1675" s="74" t="s">
        <v>253</v>
      </c>
      <c r="C1675" s="81">
        <v>14500</v>
      </c>
    </row>
    <row r="1676" spans="1:3" x14ac:dyDescent="0.2">
      <c r="A1676" s="90" t="s">
        <v>291</v>
      </c>
      <c r="B1676" s="74" t="s">
        <v>254</v>
      </c>
      <c r="C1676" s="81">
        <v>13595</v>
      </c>
    </row>
    <row r="1677" spans="1:3" x14ac:dyDescent="0.2">
      <c r="A1677" s="87" t="s">
        <v>291</v>
      </c>
      <c r="B1677" s="74" t="s">
        <v>255</v>
      </c>
      <c r="C1677" s="81">
        <v>10800</v>
      </c>
    </row>
    <row r="1678" spans="1:3" x14ac:dyDescent="0.2">
      <c r="A1678" s="87" t="s">
        <v>291</v>
      </c>
      <c r="B1678" s="74" t="s">
        <v>255</v>
      </c>
      <c r="C1678" s="81">
        <v>10800</v>
      </c>
    </row>
    <row r="1679" spans="1:3" x14ac:dyDescent="0.2">
      <c r="A1679" s="87" t="s">
        <v>291</v>
      </c>
      <c r="B1679" s="74" t="s">
        <v>256</v>
      </c>
      <c r="C1679" s="81">
        <v>5099.03</v>
      </c>
    </row>
    <row r="1680" spans="1:3" x14ac:dyDescent="0.2">
      <c r="A1680" s="87" t="s">
        <v>291</v>
      </c>
      <c r="B1680" s="74" t="s">
        <v>257</v>
      </c>
      <c r="C1680" s="81">
        <v>22425</v>
      </c>
    </row>
    <row r="1681" spans="1:3" x14ac:dyDescent="0.2">
      <c r="A1681" s="90" t="s">
        <v>291</v>
      </c>
      <c r="B1681" s="74" t="s">
        <v>258</v>
      </c>
      <c r="C1681" s="81">
        <v>15000.25</v>
      </c>
    </row>
    <row r="1682" spans="1:3" ht="15.95" customHeight="1" x14ac:dyDescent="0.2">
      <c r="A1682" s="90" t="s">
        <v>291</v>
      </c>
      <c r="B1682" s="74" t="s">
        <v>259</v>
      </c>
      <c r="C1682" s="81">
        <v>9900</v>
      </c>
    </row>
    <row r="1683" spans="1:3" ht="15.95" customHeight="1" x14ac:dyDescent="0.2">
      <c r="A1683" s="90" t="s">
        <v>291</v>
      </c>
      <c r="B1683" s="74" t="s">
        <v>260</v>
      </c>
      <c r="C1683" s="81">
        <v>9900</v>
      </c>
    </row>
    <row r="1684" spans="1:3" ht="15.95" customHeight="1" x14ac:dyDescent="0.2">
      <c r="A1684" s="90" t="s">
        <v>291</v>
      </c>
      <c r="B1684" s="74" t="s">
        <v>261</v>
      </c>
      <c r="C1684" s="81">
        <v>8325</v>
      </c>
    </row>
    <row r="1685" spans="1:3" ht="15.95" customHeight="1" x14ac:dyDescent="0.2">
      <c r="A1685" s="90" t="s">
        <v>291</v>
      </c>
      <c r="B1685" s="74" t="s">
        <v>261</v>
      </c>
      <c r="C1685" s="81">
        <v>8325</v>
      </c>
    </row>
    <row r="1686" spans="1:3" ht="51" x14ac:dyDescent="0.2">
      <c r="A1686" s="87" t="s">
        <v>291</v>
      </c>
      <c r="B1686" s="74" t="s">
        <v>262</v>
      </c>
      <c r="C1686" s="81">
        <v>3350</v>
      </c>
    </row>
    <row r="1687" spans="1:3" ht="51" x14ac:dyDescent="0.2">
      <c r="A1687" s="87" t="s">
        <v>291</v>
      </c>
      <c r="B1687" s="74" t="s">
        <v>263</v>
      </c>
      <c r="C1687" s="81">
        <v>3350</v>
      </c>
    </row>
    <row r="1688" spans="1:3" x14ac:dyDescent="0.2">
      <c r="A1688" s="90" t="s">
        <v>291</v>
      </c>
      <c r="B1688" s="74" t="s">
        <v>264</v>
      </c>
      <c r="C1688" s="81">
        <v>4199.99</v>
      </c>
    </row>
    <row r="1689" spans="1:3" x14ac:dyDescent="0.2">
      <c r="A1689" s="90" t="s">
        <v>291</v>
      </c>
      <c r="B1689" s="74" t="s">
        <v>264</v>
      </c>
      <c r="C1689" s="81">
        <v>4199.99</v>
      </c>
    </row>
    <row r="1690" spans="1:3" x14ac:dyDescent="0.2">
      <c r="A1690" s="90" t="s">
        <v>291</v>
      </c>
      <c r="B1690" s="74" t="s">
        <v>264</v>
      </c>
      <c r="C1690" s="81">
        <v>4199.99</v>
      </c>
    </row>
    <row r="1691" spans="1:3" x14ac:dyDescent="0.2">
      <c r="A1691" s="90" t="s">
        <v>291</v>
      </c>
      <c r="B1691" s="74" t="s">
        <v>264</v>
      </c>
      <c r="C1691" s="81">
        <v>4199.99</v>
      </c>
    </row>
    <row r="1692" spans="1:3" ht="42" customHeight="1" x14ac:dyDescent="0.2">
      <c r="A1692" s="90" t="s">
        <v>291</v>
      </c>
      <c r="B1692" s="74" t="s">
        <v>265</v>
      </c>
      <c r="C1692" s="81">
        <v>3775</v>
      </c>
    </row>
    <row r="1693" spans="1:3" x14ac:dyDescent="0.2">
      <c r="A1693" s="87" t="s">
        <v>291</v>
      </c>
      <c r="B1693" s="74" t="s">
        <v>266</v>
      </c>
      <c r="C1693" s="81">
        <v>2995</v>
      </c>
    </row>
    <row r="1694" spans="1:3" x14ac:dyDescent="0.2">
      <c r="A1694" s="87" t="s">
        <v>291</v>
      </c>
      <c r="B1694" s="74" t="s">
        <v>267</v>
      </c>
      <c r="C1694" s="81">
        <v>649.6</v>
      </c>
    </row>
    <row r="1695" spans="1:3" x14ac:dyDescent="0.2">
      <c r="A1695" s="87" t="s">
        <v>291</v>
      </c>
      <c r="B1695" s="74" t="s">
        <v>267</v>
      </c>
      <c r="C1695" s="81">
        <v>649.6</v>
      </c>
    </row>
    <row r="1696" spans="1:3" x14ac:dyDescent="0.2">
      <c r="A1696" s="87" t="s">
        <v>291</v>
      </c>
      <c r="B1696" s="74" t="s">
        <v>267</v>
      </c>
      <c r="C1696" s="81">
        <v>649.6</v>
      </c>
    </row>
    <row r="1697" spans="1:3" x14ac:dyDescent="0.2">
      <c r="A1697" s="87" t="s">
        <v>291</v>
      </c>
      <c r="B1697" s="74" t="s">
        <v>267</v>
      </c>
      <c r="C1697" s="81">
        <v>649.6</v>
      </c>
    </row>
    <row r="1698" spans="1:3" x14ac:dyDescent="0.2">
      <c r="A1698" s="87" t="s">
        <v>291</v>
      </c>
      <c r="B1698" s="74" t="s">
        <v>267</v>
      </c>
      <c r="C1698" s="81">
        <v>649.6</v>
      </c>
    </row>
    <row r="1699" spans="1:3" x14ac:dyDescent="0.2">
      <c r="A1699" s="87" t="s">
        <v>291</v>
      </c>
      <c r="B1699" s="74" t="s">
        <v>267</v>
      </c>
      <c r="C1699" s="81">
        <v>649.6</v>
      </c>
    </row>
    <row r="1700" spans="1:3" x14ac:dyDescent="0.2">
      <c r="A1700" s="87" t="s">
        <v>291</v>
      </c>
      <c r="B1700" s="74" t="s">
        <v>267</v>
      </c>
      <c r="C1700" s="81">
        <v>649.6</v>
      </c>
    </row>
    <row r="1701" spans="1:3" x14ac:dyDescent="0.2">
      <c r="A1701" s="87" t="s">
        <v>291</v>
      </c>
      <c r="B1701" s="74" t="s">
        <v>267</v>
      </c>
      <c r="C1701" s="81">
        <v>649.6</v>
      </c>
    </row>
    <row r="1702" spans="1:3" x14ac:dyDescent="0.2">
      <c r="A1702" s="87" t="s">
        <v>291</v>
      </c>
      <c r="B1702" s="74" t="s">
        <v>267</v>
      </c>
      <c r="C1702" s="81">
        <v>649.6</v>
      </c>
    </row>
    <row r="1703" spans="1:3" x14ac:dyDescent="0.2">
      <c r="A1703" s="87" t="s">
        <v>291</v>
      </c>
      <c r="B1703" s="74" t="s">
        <v>267</v>
      </c>
      <c r="C1703" s="81">
        <v>649.6</v>
      </c>
    </row>
    <row r="1704" spans="1:3" x14ac:dyDescent="0.2">
      <c r="A1704" s="87" t="s">
        <v>291</v>
      </c>
      <c r="B1704" s="74" t="s">
        <v>267</v>
      </c>
      <c r="C1704" s="81">
        <v>649.6</v>
      </c>
    </row>
    <row r="1705" spans="1:3" x14ac:dyDescent="0.2">
      <c r="A1705" s="87" t="s">
        <v>291</v>
      </c>
      <c r="B1705" s="74" t="s">
        <v>267</v>
      </c>
      <c r="C1705" s="81">
        <v>649.6</v>
      </c>
    </row>
    <row r="1706" spans="1:3" x14ac:dyDescent="0.2">
      <c r="A1706" s="87" t="s">
        <v>291</v>
      </c>
      <c r="B1706" s="74" t="s">
        <v>267</v>
      </c>
      <c r="C1706" s="81">
        <v>649.6</v>
      </c>
    </row>
    <row r="1707" spans="1:3" x14ac:dyDescent="0.2">
      <c r="A1707" s="87" t="s">
        <v>291</v>
      </c>
      <c r="B1707" s="74" t="s">
        <v>267</v>
      </c>
      <c r="C1707" s="81">
        <v>649.6</v>
      </c>
    </row>
    <row r="1708" spans="1:3" x14ac:dyDescent="0.2">
      <c r="A1708" s="87" t="s">
        <v>291</v>
      </c>
      <c r="B1708" s="74" t="s">
        <v>267</v>
      </c>
      <c r="C1708" s="81">
        <v>649.6</v>
      </c>
    </row>
    <row r="1709" spans="1:3" x14ac:dyDescent="0.2">
      <c r="A1709" s="87" t="s">
        <v>291</v>
      </c>
      <c r="B1709" s="74" t="s">
        <v>267</v>
      </c>
      <c r="C1709" s="81">
        <v>696</v>
      </c>
    </row>
    <row r="1710" spans="1:3" x14ac:dyDescent="0.2">
      <c r="A1710" s="87" t="s">
        <v>291</v>
      </c>
      <c r="B1710" s="74" t="s">
        <v>267</v>
      </c>
      <c r="C1710" s="81">
        <v>696</v>
      </c>
    </row>
    <row r="1711" spans="1:3" x14ac:dyDescent="0.2">
      <c r="A1711" s="87" t="s">
        <v>291</v>
      </c>
      <c r="B1711" s="74" t="s">
        <v>267</v>
      </c>
      <c r="C1711" s="81">
        <v>696</v>
      </c>
    </row>
    <row r="1712" spans="1:3" x14ac:dyDescent="0.2">
      <c r="A1712" s="87" t="s">
        <v>291</v>
      </c>
      <c r="B1712" s="74" t="s">
        <v>267</v>
      </c>
      <c r="C1712" s="81">
        <v>696</v>
      </c>
    </row>
    <row r="1713" spans="1:3" x14ac:dyDescent="0.2">
      <c r="A1713" s="87" t="s">
        <v>291</v>
      </c>
      <c r="B1713" s="74" t="s">
        <v>267</v>
      </c>
      <c r="C1713" s="81">
        <v>696</v>
      </c>
    </row>
    <row r="1714" spans="1:3" x14ac:dyDescent="0.2">
      <c r="A1714" s="87" t="s">
        <v>291</v>
      </c>
      <c r="B1714" s="74" t="s">
        <v>267</v>
      </c>
      <c r="C1714" s="81">
        <v>696</v>
      </c>
    </row>
    <row r="1715" spans="1:3" x14ac:dyDescent="0.2">
      <c r="A1715" s="87" t="s">
        <v>291</v>
      </c>
      <c r="B1715" s="74" t="s">
        <v>267</v>
      </c>
      <c r="C1715" s="81">
        <v>696</v>
      </c>
    </row>
    <row r="1716" spans="1:3" x14ac:dyDescent="0.2">
      <c r="A1716" s="87" t="s">
        <v>291</v>
      </c>
      <c r="B1716" s="74" t="s">
        <v>267</v>
      </c>
      <c r="C1716" s="81">
        <v>696</v>
      </c>
    </row>
    <row r="1717" spans="1:3" x14ac:dyDescent="0.2">
      <c r="A1717" s="87" t="s">
        <v>291</v>
      </c>
      <c r="B1717" s="74" t="s">
        <v>267</v>
      </c>
      <c r="C1717" s="81">
        <v>696</v>
      </c>
    </row>
    <row r="1718" spans="1:3" x14ac:dyDescent="0.2">
      <c r="A1718" s="87" t="s">
        <v>291</v>
      </c>
      <c r="B1718" s="74" t="s">
        <v>267</v>
      </c>
      <c r="C1718" s="81">
        <v>696</v>
      </c>
    </row>
    <row r="1719" spans="1:3" x14ac:dyDescent="0.2">
      <c r="A1719" s="87" t="s">
        <v>291</v>
      </c>
      <c r="B1719" s="74" t="s">
        <v>267</v>
      </c>
      <c r="C1719" s="81">
        <v>696</v>
      </c>
    </row>
    <row r="1720" spans="1:3" x14ac:dyDescent="0.2">
      <c r="A1720" s="87" t="s">
        <v>291</v>
      </c>
      <c r="B1720" s="74" t="s">
        <v>267</v>
      </c>
      <c r="C1720" s="81">
        <v>696</v>
      </c>
    </row>
    <row r="1721" spans="1:3" x14ac:dyDescent="0.2">
      <c r="A1721" s="87" t="s">
        <v>291</v>
      </c>
      <c r="B1721" s="74" t="s">
        <v>267</v>
      </c>
      <c r="C1721" s="81">
        <v>696</v>
      </c>
    </row>
    <row r="1722" spans="1:3" x14ac:dyDescent="0.2">
      <c r="A1722" s="87" t="s">
        <v>291</v>
      </c>
      <c r="B1722" s="74" t="s">
        <v>267</v>
      </c>
      <c r="C1722" s="81">
        <v>696</v>
      </c>
    </row>
    <row r="1723" spans="1:3" x14ac:dyDescent="0.2">
      <c r="A1723" s="87" t="s">
        <v>291</v>
      </c>
      <c r="B1723" s="74" t="s">
        <v>267</v>
      </c>
      <c r="C1723" s="81">
        <v>696</v>
      </c>
    </row>
    <row r="1724" spans="1:3" x14ac:dyDescent="0.2">
      <c r="A1724" s="87" t="s">
        <v>291</v>
      </c>
      <c r="B1724" s="74" t="s">
        <v>267</v>
      </c>
      <c r="C1724" s="81">
        <v>649.6</v>
      </c>
    </row>
    <row r="1725" spans="1:3" x14ac:dyDescent="0.2">
      <c r="A1725" s="87" t="s">
        <v>291</v>
      </c>
      <c r="B1725" s="74" t="s">
        <v>267</v>
      </c>
      <c r="C1725" s="81">
        <v>649.6</v>
      </c>
    </row>
    <row r="1726" spans="1:3" x14ac:dyDescent="0.2">
      <c r="A1726" s="87" t="s">
        <v>291</v>
      </c>
      <c r="B1726" s="74" t="s">
        <v>267</v>
      </c>
      <c r="C1726" s="81">
        <v>649.6</v>
      </c>
    </row>
    <row r="1727" spans="1:3" x14ac:dyDescent="0.2">
      <c r="A1727" s="87" t="s">
        <v>291</v>
      </c>
      <c r="B1727" s="74" t="s">
        <v>267</v>
      </c>
      <c r="C1727" s="81">
        <v>649.6</v>
      </c>
    </row>
    <row r="1728" spans="1:3" x14ac:dyDescent="0.2">
      <c r="A1728" s="87" t="s">
        <v>291</v>
      </c>
      <c r="B1728" s="74" t="s">
        <v>267</v>
      </c>
      <c r="C1728" s="81">
        <v>649.6</v>
      </c>
    </row>
    <row r="1729" spans="1:3" x14ac:dyDescent="0.2">
      <c r="A1729" s="87" t="s">
        <v>291</v>
      </c>
      <c r="B1729" s="74" t="s">
        <v>267</v>
      </c>
      <c r="C1729" s="81">
        <v>649.6</v>
      </c>
    </row>
    <row r="1730" spans="1:3" x14ac:dyDescent="0.2">
      <c r="A1730" s="87" t="s">
        <v>291</v>
      </c>
      <c r="B1730" s="74" t="s">
        <v>267</v>
      </c>
      <c r="C1730" s="81">
        <v>649.6</v>
      </c>
    </row>
    <row r="1731" spans="1:3" x14ac:dyDescent="0.2">
      <c r="A1731" s="87" t="s">
        <v>291</v>
      </c>
      <c r="B1731" s="74" t="s">
        <v>267</v>
      </c>
      <c r="C1731" s="81">
        <v>649.6</v>
      </c>
    </row>
    <row r="1732" spans="1:3" x14ac:dyDescent="0.2">
      <c r="A1732" s="87" t="s">
        <v>291</v>
      </c>
      <c r="B1732" s="74" t="s">
        <v>267</v>
      </c>
      <c r="C1732" s="81">
        <v>649.6</v>
      </c>
    </row>
    <row r="1733" spans="1:3" x14ac:dyDescent="0.2">
      <c r="A1733" s="87" t="s">
        <v>291</v>
      </c>
      <c r="B1733" s="74" t="s">
        <v>267</v>
      </c>
      <c r="C1733" s="81">
        <v>649.6</v>
      </c>
    </row>
    <row r="1734" spans="1:3" x14ac:dyDescent="0.2">
      <c r="A1734" s="87" t="s">
        <v>291</v>
      </c>
      <c r="B1734" s="74" t="s">
        <v>267</v>
      </c>
      <c r="C1734" s="81">
        <v>649.6</v>
      </c>
    </row>
    <row r="1735" spans="1:3" x14ac:dyDescent="0.2">
      <c r="A1735" s="87" t="s">
        <v>291</v>
      </c>
      <c r="B1735" s="74" t="s">
        <v>267</v>
      </c>
      <c r="C1735" s="81">
        <v>649.6</v>
      </c>
    </row>
    <row r="1736" spans="1:3" x14ac:dyDescent="0.2">
      <c r="A1736" s="87" t="s">
        <v>291</v>
      </c>
      <c r="B1736" s="74" t="s">
        <v>267</v>
      </c>
      <c r="C1736" s="81">
        <v>649.6</v>
      </c>
    </row>
    <row r="1737" spans="1:3" x14ac:dyDescent="0.2">
      <c r="A1737" s="87" t="s">
        <v>291</v>
      </c>
      <c r="B1737" s="74" t="s">
        <v>267</v>
      </c>
      <c r="C1737" s="81">
        <v>649.6</v>
      </c>
    </row>
    <row r="1738" spans="1:3" x14ac:dyDescent="0.2">
      <c r="A1738" s="87" t="s">
        <v>291</v>
      </c>
      <c r="B1738" s="74" t="s">
        <v>267</v>
      </c>
      <c r="C1738" s="81">
        <v>649.6</v>
      </c>
    </row>
    <row r="1739" spans="1:3" ht="15.95" customHeight="1" x14ac:dyDescent="0.2">
      <c r="A1739" s="90" t="s">
        <v>291</v>
      </c>
      <c r="B1739" s="74" t="s">
        <v>268</v>
      </c>
      <c r="C1739" s="81">
        <v>3060</v>
      </c>
    </row>
    <row r="1740" spans="1:3" ht="15.95" customHeight="1" x14ac:dyDescent="0.2">
      <c r="A1740" s="90" t="s">
        <v>291</v>
      </c>
      <c r="B1740" s="74" t="s">
        <v>268</v>
      </c>
      <c r="C1740" s="81">
        <v>3060</v>
      </c>
    </row>
    <row r="1741" spans="1:3" ht="15" customHeight="1" x14ac:dyDescent="0.2">
      <c r="A1741" s="90" t="s">
        <v>291</v>
      </c>
      <c r="B1741" s="74" t="s">
        <v>268</v>
      </c>
      <c r="C1741" s="81">
        <v>3060</v>
      </c>
    </row>
    <row r="1742" spans="1:3" x14ac:dyDescent="0.2">
      <c r="A1742" s="87" t="s">
        <v>291</v>
      </c>
      <c r="B1742" s="74" t="s">
        <v>269</v>
      </c>
      <c r="C1742" s="81">
        <v>7299</v>
      </c>
    </row>
    <row r="1743" spans="1:3" x14ac:dyDescent="0.2">
      <c r="A1743" s="87" t="s">
        <v>291</v>
      </c>
      <c r="B1743" s="74" t="s">
        <v>269</v>
      </c>
      <c r="C1743" s="81">
        <v>7299</v>
      </c>
    </row>
    <row r="1744" spans="1:3" x14ac:dyDescent="0.2">
      <c r="A1744" s="87" t="s">
        <v>291</v>
      </c>
      <c r="B1744" s="74" t="s">
        <v>269</v>
      </c>
      <c r="C1744" s="81">
        <v>7299.01</v>
      </c>
    </row>
    <row r="1745" spans="1:3" x14ac:dyDescent="0.2">
      <c r="A1745" s="87" t="s">
        <v>291</v>
      </c>
      <c r="B1745" s="74" t="s">
        <v>269</v>
      </c>
      <c r="C1745" s="81">
        <v>7299</v>
      </c>
    </row>
    <row r="1746" spans="1:3" x14ac:dyDescent="0.2">
      <c r="A1746" s="87" t="s">
        <v>291</v>
      </c>
      <c r="B1746" s="74" t="s">
        <v>269</v>
      </c>
      <c r="C1746" s="81">
        <v>7299</v>
      </c>
    </row>
    <row r="1747" spans="1:3" x14ac:dyDescent="0.2">
      <c r="A1747" s="87" t="s">
        <v>291</v>
      </c>
      <c r="B1747" s="74" t="s">
        <v>269</v>
      </c>
      <c r="C1747" s="81">
        <v>7299</v>
      </c>
    </row>
    <row r="1748" spans="1:3" x14ac:dyDescent="0.2">
      <c r="A1748" s="87" t="s">
        <v>291</v>
      </c>
      <c r="B1748" s="74" t="s">
        <v>270</v>
      </c>
      <c r="C1748" s="81">
        <v>7299</v>
      </c>
    </row>
    <row r="1749" spans="1:3" x14ac:dyDescent="0.2">
      <c r="A1749" s="87" t="s">
        <v>291</v>
      </c>
      <c r="B1749" s="74" t="s">
        <v>269</v>
      </c>
      <c r="C1749" s="81">
        <v>7299</v>
      </c>
    </row>
    <row r="1750" spans="1:3" x14ac:dyDescent="0.2">
      <c r="A1750" s="87" t="s">
        <v>291</v>
      </c>
      <c r="B1750" s="74" t="s">
        <v>269</v>
      </c>
      <c r="C1750" s="81">
        <v>7299</v>
      </c>
    </row>
    <row r="1751" spans="1:3" x14ac:dyDescent="0.2">
      <c r="A1751" s="87" t="s">
        <v>291</v>
      </c>
      <c r="B1751" s="74" t="s">
        <v>269</v>
      </c>
      <c r="C1751" s="81">
        <v>7299</v>
      </c>
    </row>
    <row r="1752" spans="1:3" x14ac:dyDescent="0.2">
      <c r="A1752" s="87" t="s">
        <v>291</v>
      </c>
      <c r="B1752" s="74" t="s">
        <v>269</v>
      </c>
      <c r="C1752" s="81">
        <v>7299</v>
      </c>
    </row>
    <row r="1753" spans="1:3" x14ac:dyDescent="0.2">
      <c r="A1753" s="87" t="s">
        <v>291</v>
      </c>
      <c r="B1753" s="74" t="s">
        <v>271</v>
      </c>
      <c r="C1753" s="81">
        <v>7299</v>
      </c>
    </row>
    <row r="1754" spans="1:3" x14ac:dyDescent="0.2">
      <c r="A1754" s="87" t="s">
        <v>291</v>
      </c>
      <c r="B1754" s="74" t="s">
        <v>271</v>
      </c>
      <c r="C1754" s="81">
        <v>7299</v>
      </c>
    </row>
    <row r="1755" spans="1:3" x14ac:dyDescent="0.2">
      <c r="A1755" s="87" t="s">
        <v>291</v>
      </c>
      <c r="B1755" s="74" t="s">
        <v>272</v>
      </c>
      <c r="C1755" s="81">
        <v>696</v>
      </c>
    </row>
    <row r="1756" spans="1:3" x14ac:dyDescent="0.2">
      <c r="A1756" s="87" t="s">
        <v>291</v>
      </c>
      <c r="B1756" s="74" t="s">
        <v>272</v>
      </c>
      <c r="C1756" s="81">
        <v>696</v>
      </c>
    </row>
    <row r="1757" spans="1:3" x14ac:dyDescent="0.2">
      <c r="A1757" s="87" t="s">
        <v>291</v>
      </c>
      <c r="B1757" s="74" t="s">
        <v>272</v>
      </c>
      <c r="C1757" s="81">
        <v>696</v>
      </c>
    </row>
    <row r="1758" spans="1:3" x14ac:dyDescent="0.2">
      <c r="A1758" s="87" t="s">
        <v>291</v>
      </c>
      <c r="B1758" s="74" t="s">
        <v>272</v>
      </c>
      <c r="C1758" s="81">
        <v>696</v>
      </c>
    </row>
    <row r="1759" spans="1:3" x14ac:dyDescent="0.2">
      <c r="A1759" s="87" t="s">
        <v>291</v>
      </c>
      <c r="B1759" s="74" t="s">
        <v>272</v>
      </c>
      <c r="C1759" s="81">
        <v>696</v>
      </c>
    </row>
    <row r="1760" spans="1:3" x14ac:dyDescent="0.2">
      <c r="A1760" s="87" t="s">
        <v>291</v>
      </c>
      <c r="B1760" s="74" t="s">
        <v>272</v>
      </c>
      <c r="C1760" s="81">
        <v>696</v>
      </c>
    </row>
    <row r="1761" spans="1:3" x14ac:dyDescent="0.2">
      <c r="A1761" s="87" t="s">
        <v>291</v>
      </c>
      <c r="B1761" s="74" t="s">
        <v>272</v>
      </c>
      <c r="C1761" s="81">
        <v>696</v>
      </c>
    </row>
    <row r="1762" spans="1:3" x14ac:dyDescent="0.2">
      <c r="A1762" s="87" t="s">
        <v>291</v>
      </c>
      <c r="B1762" s="74" t="s">
        <v>272</v>
      </c>
      <c r="C1762" s="81">
        <v>696</v>
      </c>
    </row>
    <row r="1763" spans="1:3" x14ac:dyDescent="0.2">
      <c r="A1763" s="87" t="s">
        <v>291</v>
      </c>
      <c r="B1763" s="74" t="s">
        <v>272</v>
      </c>
      <c r="C1763" s="81">
        <v>696</v>
      </c>
    </row>
    <row r="1764" spans="1:3" x14ac:dyDescent="0.2">
      <c r="A1764" s="87" t="s">
        <v>291</v>
      </c>
      <c r="B1764" s="74" t="s">
        <v>272</v>
      </c>
      <c r="C1764" s="81">
        <v>696</v>
      </c>
    </row>
    <row r="1765" spans="1:3" x14ac:dyDescent="0.2">
      <c r="A1765" s="87" t="s">
        <v>291</v>
      </c>
      <c r="B1765" s="74" t="s">
        <v>272</v>
      </c>
      <c r="C1765" s="81">
        <v>696</v>
      </c>
    </row>
    <row r="1766" spans="1:3" x14ac:dyDescent="0.2">
      <c r="A1766" s="87" t="s">
        <v>291</v>
      </c>
      <c r="B1766" s="74" t="s">
        <v>272</v>
      </c>
      <c r="C1766" s="81">
        <v>696</v>
      </c>
    </row>
    <row r="1767" spans="1:3" x14ac:dyDescent="0.2">
      <c r="A1767" s="87" t="s">
        <v>291</v>
      </c>
      <c r="B1767" s="74" t="s">
        <v>272</v>
      </c>
      <c r="C1767" s="81">
        <v>696</v>
      </c>
    </row>
    <row r="1768" spans="1:3" x14ac:dyDescent="0.2">
      <c r="A1768" s="87" t="s">
        <v>291</v>
      </c>
      <c r="B1768" s="74" t="s">
        <v>272</v>
      </c>
      <c r="C1768" s="81">
        <v>696</v>
      </c>
    </row>
    <row r="1769" spans="1:3" x14ac:dyDescent="0.2">
      <c r="A1769" s="87" t="s">
        <v>291</v>
      </c>
      <c r="B1769" s="74" t="s">
        <v>272</v>
      </c>
      <c r="C1769" s="81">
        <v>696</v>
      </c>
    </row>
    <row r="1770" spans="1:3" x14ac:dyDescent="0.2">
      <c r="A1770" s="87" t="s">
        <v>291</v>
      </c>
      <c r="B1770" s="74" t="s">
        <v>272</v>
      </c>
      <c r="C1770" s="81">
        <v>696</v>
      </c>
    </row>
    <row r="1771" spans="1:3" x14ac:dyDescent="0.2">
      <c r="A1771" s="87" t="s">
        <v>291</v>
      </c>
      <c r="B1771" s="74" t="s">
        <v>272</v>
      </c>
      <c r="C1771" s="81">
        <v>696</v>
      </c>
    </row>
    <row r="1772" spans="1:3" x14ac:dyDescent="0.2">
      <c r="A1772" s="87" t="s">
        <v>291</v>
      </c>
      <c r="B1772" s="74" t="s">
        <v>272</v>
      </c>
      <c r="C1772" s="81">
        <v>696</v>
      </c>
    </row>
    <row r="1773" spans="1:3" x14ac:dyDescent="0.2">
      <c r="A1773" s="87" t="s">
        <v>291</v>
      </c>
      <c r="B1773" s="74" t="s">
        <v>272</v>
      </c>
      <c r="C1773" s="81">
        <v>696</v>
      </c>
    </row>
    <row r="1774" spans="1:3" x14ac:dyDescent="0.2">
      <c r="A1774" s="87" t="s">
        <v>291</v>
      </c>
      <c r="B1774" s="74" t="s">
        <v>272</v>
      </c>
      <c r="C1774" s="81">
        <v>696</v>
      </c>
    </row>
    <row r="1775" spans="1:3" x14ac:dyDescent="0.2">
      <c r="A1775" s="87" t="s">
        <v>291</v>
      </c>
      <c r="B1775" s="74" t="s">
        <v>272</v>
      </c>
      <c r="C1775" s="81">
        <v>696</v>
      </c>
    </row>
    <row r="1776" spans="1:3" x14ac:dyDescent="0.2">
      <c r="A1776" s="87" t="s">
        <v>291</v>
      </c>
      <c r="B1776" s="74" t="s">
        <v>272</v>
      </c>
      <c r="C1776" s="81">
        <v>696</v>
      </c>
    </row>
    <row r="1777" spans="1:3" x14ac:dyDescent="0.2">
      <c r="A1777" s="87" t="s">
        <v>291</v>
      </c>
      <c r="B1777" s="74" t="s">
        <v>272</v>
      </c>
      <c r="C1777" s="81">
        <v>696</v>
      </c>
    </row>
    <row r="1778" spans="1:3" x14ac:dyDescent="0.2">
      <c r="A1778" s="87" t="s">
        <v>291</v>
      </c>
      <c r="B1778" s="74" t="s">
        <v>272</v>
      </c>
      <c r="C1778" s="81">
        <v>696</v>
      </c>
    </row>
    <row r="1779" spans="1:3" x14ac:dyDescent="0.2">
      <c r="A1779" s="87" t="s">
        <v>291</v>
      </c>
      <c r="B1779" s="74" t="s">
        <v>272</v>
      </c>
      <c r="C1779" s="81">
        <v>696</v>
      </c>
    </row>
    <row r="1780" spans="1:3" x14ac:dyDescent="0.2">
      <c r="A1780" s="87" t="s">
        <v>291</v>
      </c>
      <c r="B1780" s="74" t="s">
        <v>272</v>
      </c>
      <c r="C1780" s="81">
        <v>696</v>
      </c>
    </row>
    <row r="1781" spans="1:3" x14ac:dyDescent="0.2">
      <c r="A1781" s="87" t="s">
        <v>291</v>
      </c>
      <c r="B1781" s="74" t="s">
        <v>272</v>
      </c>
      <c r="C1781" s="81">
        <v>696</v>
      </c>
    </row>
    <row r="1782" spans="1:3" x14ac:dyDescent="0.2">
      <c r="A1782" s="87" t="s">
        <v>291</v>
      </c>
      <c r="B1782" s="74" t="s">
        <v>272</v>
      </c>
      <c r="C1782" s="81">
        <v>696</v>
      </c>
    </row>
    <row r="1783" spans="1:3" x14ac:dyDescent="0.2">
      <c r="A1783" s="87" t="s">
        <v>291</v>
      </c>
      <c r="B1783" s="74" t="s">
        <v>272</v>
      </c>
      <c r="C1783" s="81">
        <v>696</v>
      </c>
    </row>
    <row r="1784" spans="1:3" x14ac:dyDescent="0.2">
      <c r="A1784" s="87" t="s">
        <v>291</v>
      </c>
      <c r="B1784" s="74" t="s">
        <v>272</v>
      </c>
      <c r="C1784" s="81">
        <v>696</v>
      </c>
    </row>
    <row r="1785" spans="1:3" x14ac:dyDescent="0.2">
      <c r="A1785" s="87" t="s">
        <v>291</v>
      </c>
      <c r="B1785" s="74" t="s">
        <v>272</v>
      </c>
      <c r="C1785" s="81">
        <v>696</v>
      </c>
    </row>
    <row r="1786" spans="1:3" x14ac:dyDescent="0.2">
      <c r="A1786" s="87" t="s">
        <v>291</v>
      </c>
      <c r="B1786" s="74" t="s">
        <v>272</v>
      </c>
      <c r="C1786" s="81">
        <v>696</v>
      </c>
    </row>
    <row r="1787" spans="1:3" x14ac:dyDescent="0.2">
      <c r="A1787" s="87" t="s">
        <v>291</v>
      </c>
      <c r="B1787" s="74" t="s">
        <v>272</v>
      </c>
      <c r="C1787" s="81">
        <v>696</v>
      </c>
    </row>
    <row r="1788" spans="1:3" x14ac:dyDescent="0.2">
      <c r="A1788" s="87" t="s">
        <v>291</v>
      </c>
      <c r="B1788" s="74" t="s">
        <v>272</v>
      </c>
      <c r="C1788" s="81">
        <v>696</v>
      </c>
    </row>
    <row r="1789" spans="1:3" x14ac:dyDescent="0.2">
      <c r="A1789" s="87" t="s">
        <v>291</v>
      </c>
      <c r="B1789" s="74" t="s">
        <v>272</v>
      </c>
      <c r="C1789" s="81">
        <v>696</v>
      </c>
    </row>
    <row r="1790" spans="1:3" x14ac:dyDescent="0.2">
      <c r="A1790" s="87" t="s">
        <v>291</v>
      </c>
      <c r="B1790" s="74" t="s">
        <v>272</v>
      </c>
      <c r="C1790" s="81">
        <v>696</v>
      </c>
    </row>
    <row r="1791" spans="1:3" x14ac:dyDescent="0.2">
      <c r="A1791" s="87" t="s">
        <v>291</v>
      </c>
      <c r="B1791" s="74" t="s">
        <v>272</v>
      </c>
      <c r="C1791" s="81">
        <v>696</v>
      </c>
    </row>
    <row r="1792" spans="1:3" x14ac:dyDescent="0.2">
      <c r="A1792" s="87" t="s">
        <v>291</v>
      </c>
      <c r="B1792" s="74" t="s">
        <v>272</v>
      </c>
      <c r="C1792" s="81">
        <v>696</v>
      </c>
    </row>
    <row r="1793" spans="1:3" x14ac:dyDescent="0.2">
      <c r="A1793" s="87" t="s">
        <v>291</v>
      </c>
      <c r="B1793" s="74" t="s">
        <v>272</v>
      </c>
      <c r="C1793" s="81">
        <v>696</v>
      </c>
    </row>
    <row r="1794" spans="1:3" x14ac:dyDescent="0.2">
      <c r="A1794" s="87" t="s">
        <v>291</v>
      </c>
      <c r="B1794" s="74" t="s">
        <v>272</v>
      </c>
      <c r="C1794" s="81">
        <v>696</v>
      </c>
    </row>
    <row r="1795" spans="1:3" x14ac:dyDescent="0.2">
      <c r="A1795" s="87" t="s">
        <v>291</v>
      </c>
      <c r="B1795" s="74" t="s">
        <v>272</v>
      </c>
      <c r="C1795" s="81">
        <v>696</v>
      </c>
    </row>
    <row r="1796" spans="1:3" x14ac:dyDescent="0.2">
      <c r="A1796" s="87" t="s">
        <v>291</v>
      </c>
      <c r="B1796" s="74" t="s">
        <v>272</v>
      </c>
      <c r="C1796" s="81">
        <v>696</v>
      </c>
    </row>
    <row r="1797" spans="1:3" x14ac:dyDescent="0.2">
      <c r="A1797" s="87" t="s">
        <v>291</v>
      </c>
      <c r="B1797" s="74" t="s">
        <v>272</v>
      </c>
      <c r="C1797" s="81">
        <v>696</v>
      </c>
    </row>
    <row r="1798" spans="1:3" x14ac:dyDescent="0.2">
      <c r="A1798" s="87" t="s">
        <v>291</v>
      </c>
      <c r="B1798" s="74" t="s">
        <v>272</v>
      </c>
      <c r="C1798" s="81">
        <v>696</v>
      </c>
    </row>
    <row r="1799" spans="1:3" x14ac:dyDescent="0.2">
      <c r="A1799" s="87" t="s">
        <v>291</v>
      </c>
      <c r="B1799" s="74" t="s">
        <v>272</v>
      </c>
      <c r="C1799" s="81">
        <v>696</v>
      </c>
    </row>
    <row r="1800" spans="1:3" x14ac:dyDescent="0.2">
      <c r="A1800" s="87" t="s">
        <v>291</v>
      </c>
      <c r="B1800" s="74" t="s">
        <v>272</v>
      </c>
      <c r="C1800" s="81">
        <v>696</v>
      </c>
    </row>
    <row r="1801" spans="1:3" x14ac:dyDescent="0.2">
      <c r="A1801" s="87" t="s">
        <v>291</v>
      </c>
      <c r="B1801" s="74" t="s">
        <v>272</v>
      </c>
      <c r="C1801" s="81">
        <v>696</v>
      </c>
    </row>
    <row r="1802" spans="1:3" x14ac:dyDescent="0.2">
      <c r="A1802" s="87" t="s">
        <v>291</v>
      </c>
      <c r="B1802" s="74" t="s">
        <v>272</v>
      </c>
      <c r="C1802" s="81">
        <v>696</v>
      </c>
    </row>
    <row r="1803" spans="1:3" x14ac:dyDescent="0.2">
      <c r="A1803" s="87" t="s">
        <v>291</v>
      </c>
      <c r="B1803" s="74" t="s">
        <v>272</v>
      </c>
      <c r="C1803" s="81">
        <v>696</v>
      </c>
    </row>
    <row r="1804" spans="1:3" x14ac:dyDescent="0.2">
      <c r="A1804" s="87" t="s">
        <v>291</v>
      </c>
      <c r="B1804" s="74" t="s">
        <v>272</v>
      </c>
      <c r="C1804" s="81">
        <v>696</v>
      </c>
    </row>
    <row r="1805" spans="1:3" x14ac:dyDescent="0.2">
      <c r="A1805" s="87" t="s">
        <v>291</v>
      </c>
      <c r="B1805" s="74" t="s">
        <v>272</v>
      </c>
      <c r="C1805" s="81">
        <v>696</v>
      </c>
    </row>
    <row r="1806" spans="1:3" x14ac:dyDescent="0.2">
      <c r="A1806" s="87" t="s">
        <v>291</v>
      </c>
      <c r="B1806" s="74" t="s">
        <v>272</v>
      </c>
      <c r="C1806" s="81">
        <v>696</v>
      </c>
    </row>
    <row r="1807" spans="1:3" x14ac:dyDescent="0.2">
      <c r="A1807" s="87" t="s">
        <v>291</v>
      </c>
      <c r="B1807" s="74" t="s">
        <v>272</v>
      </c>
      <c r="C1807" s="81">
        <v>696</v>
      </c>
    </row>
    <row r="1808" spans="1:3" x14ac:dyDescent="0.2">
      <c r="A1808" s="87" t="s">
        <v>291</v>
      </c>
      <c r="B1808" s="74" t="s">
        <v>272</v>
      </c>
      <c r="C1808" s="81">
        <v>696</v>
      </c>
    </row>
    <row r="1809" spans="1:3" x14ac:dyDescent="0.2">
      <c r="A1809" s="87" t="s">
        <v>291</v>
      </c>
      <c r="B1809" s="74" t="s">
        <v>272</v>
      </c>
      <c r="C1809" s="81">
        <v>696</v>
      </c>
    </row>
    <row r="1810" spans="1:3" x14ac:dyDescent="0.2">
      <c r="A1810" s="87" t="s">
        <v>291</v>
      </c>
      <c r="B1810" s="74" t="s">
        <v>272</v>
      </c>
      <c r="C1810" s="81">
        <v>696</v>
      </c>
    </row>
    <row r="1811" spans="1:3" x14ac:dyDescent="0.2">
      <c r="A1811" s="87" t="s">
        <v>291</v>
      </c>
      <c r="B1811" s="74" t="s">
        <v>272</v>
      </c>
      <c r="C1811" s="81">
        <v>696</v>
      </c>
    </row>
    <row r="1812" spans="1:3" x14ac:dyDescent="0.2">
      <c r="A1812" s="87" t="s">
        <v>291</v>
      </c>
      <c r="B1812" s="74" t="s">
        <v>272</v>
      </c>
      <c r="C1812" s="81">
        <v>696</v>
      </c>
    </row>
    <row r="1813" spans="1:3" x14ac:dyDescent="0.2">
      <c r="A1813" s="87" t="s">
        <v>291</v>
      </c>
      <c r="B1813" s="74" t="s">
        <v>272</v>
      </c>
      <c r="C1813" s="81">
        <v>696</v>
      </c>
    </row>
    <row r="1814" spans="1:3" x14ac:dyDescent="0.2">
      <c r="A1814" s="87" t="s">
        <v>291</v>
      </c>
      <c r="B1814" s="74" t="s">
        <v>272</v>
      </c>
      <c r="C1814" s="81">
        <v>696</v>
      </c>
    </row>
    <row r="1815" spans="1:3" x14ac:dyDescent="0.2">
      <c r="A1815" s="87" t="s">
        <v>291</v>
      </c>
      <c r="B1815" s="74" t="s">
        <v>272</v>
      </c>
      <c r="C1815" s="81">
        <v>696</v>
      </c>
    </row>
    <row r="1816" spans="1:3" x14ac:dyDescent="0.2">
      <c r="A1816" s="87" t="s">
        <v>291</v>
      </c>
      <c r="B1816" s="74" t="s">
        <v>272</v>
      </c>
      <c r="C1816" s="81">
        <v>696</v>
      </c>
    </row>
    <row r="1817" spans="1:3" x14ac:dyDescent="0.2">
      <c r="A1817" s="87" t="s">
        <v>291</v>
      </c>
      <c r="B1817" s="74" t="s">
        <v>272</v>
      </c>
      <c r="C1817" s="81">
        <v>696</v>
      </c>
    </row>
    <row r="1818" spans="1:3" x14ac:dyDescent="0.2">
      <c r="A1818" s="87" t="s">
        <v>291</v>
      </c>
      <c r="B1818" s="74" t="s">
        <v>272</v>
      </c>
      <c r="C1818" s="81">
        <v>696</v>
      </c>
    </row>
    <row r="1819" spans="1:3" x14ac:dyDescent="0.2">
      <c r="A1819" s="87" t="s">
        <v>291</v>
      </c>
      <c r="B1819" s="74" t="s">
        <v>272</v>
      </c>
      <c r="C1819" s="81">
        <v>696</v>
      </c>
    </row>
    <row r="1820" spans="1:3" x14ac:dyDescent="0.2">
      <c r="A1820" s="87" t="s">
        <v>291</v>
      </c>
      <c r="B1820" s="74" t="s">
        <v>272</v>
      </c>
      <c r="C1820" s="81">
        <v>696</v>
      </c>
    </row>
    <row r="1821" spans="1:3" x14ac:dyDescent="0.2">
      <c r="A1821" s="87" t="s">
        <v>291</v>
      </c>
      <c r="B1821" s="74" t="s">
        <v>272</v>
      </c>
      <c r="C1821" s="81">
        <v>696</v>
      </c>
    </row>
    <row r="1822" spans="1:3" x14ac:dyDescent="0.2">
      <c r="A1822" s="87" t="s">
        <v>291</v>
      </c>
      <c r="B1822" s="74" t="s">
        <v>272</v>
      </c>
      <c r="C1822" s="81">
        <v>696</v>
      </c>
    </row>
    <row r="1823" spans="1:3" x14ac:dyDescent="0.2">
      <c r="A1823" s="87" t="s">
        <v>291</v>
      </c>
      <c r="B1823" s="74" t="s">
        <v>272</v>
      </c>
      <c r="C1823" s="81">
        <v>696</v>
      </c>
    </row>
    <row r="1824" spans="1:3" x14ac:dyDescent="0.2">
      <c r="A1824" s="87" t="s">
        <v>291</v>
      </c>
      <c r="B1824" s="74" t="s">
        <v>272</v>
      </c>
      <c r="C1824" s="81">
        <v>696</v>
      </c>
    </row>
    <row r="1825" spans="1:3" x14ac:dyDescent="0.2">
      <c r="A1825" s="87" t="s">
        <v>291</v>
      </c>
      <c r="B1825" s="74" t="s">
        <v>272</v>
      </c>
      <c r="C1825" s="81">
        <v>696</v>
      </c>
    </row>
    <row r="1826" spans="1:3" x14ac:dyDescent="0.2">
      <c r="A1826" s="87" t="s">
        <v>291</v>
      </c>
      <c r="B1826" s="74" t="s">
        <v>272</v>
      </c>
      <c r="C1826" s="81">
        <v>696</v>
      </c>
    </row>
    <row r="1827" spans="1:3" x14ac:dyDescent="0.2">
      <c r="A1827" s="87" t="s">
        <v>291</v>
      </c>
      <c r="B1827" s="74" t="s">
        <v>272</v>
      </c>
      <c r="C1827" s="81">
        <v>696</v>
      </c>
    </row>
    <row r="1828" spans="1:3" x14ac:dyDescent="0.2">
      <c r="A1828" s="87" t="s">
        <v>291</v>
      </c>
      <c r="B1828" s="74" t="s">
        <v>272</v>
      </c>
      <c r="C1828" s="81">
        <v>696</v>
      </c>
    </row>
    <row r="1829" spans="1:3" x14ac:dyDescent="0.2">
      <c r="A1829" s="87" t="s">
        <v>291</v>
      </c>
      <c r="B1829" s="74" t="s">
        <v>272</v>
      </c>
      <c r="C1829" s="81">
        <v>696</v>
      </c>
    </row>
    <row r="1830" spans="1:3" x14ac:dyDescent="0.2">
      <c r="A1830" s="87" t="s">
        <v>291</v>
      </c>
      <c r="B1830" s="74" t="s">
        <v>272</v>
      </c>
      <c r="C1830" s="81">
        <v>696</v>
      </c>
    </row>
    <row r="1831" spans="1:3" x14ac:dyDescent="0.2">
      <c r="A1831" s="87" t="s">
        <v>291</v>
      </c>
      <c r="B1831" s="74" t="s">
        <v>272</v>
      </c>
      <c r="C1831" s="81">
        <v>696</v>
      </c>
    </row>
    <row r="1832" spans="1:3" x14ac:dyDescent="0.2">
      <c r="A1832" s="87" t="s">
        <v>291</v>
      </c>
      <c r="B1832" s="74" t="s">
        <v>272</v>
      </c>
      <c r="C1832" s="81">
        <v>696</v>
      </c>
    </row>
    <row r="1833" spans="1:3" x14ac:dyDescent="0.2">
      <c r="A1833" s="87" t="s">
        <v>291</v>
      </c>
      <c r="B1833" s="74" t="s">
        <v>272</v>
      </c>
      <c r="C1833" s="81">
        <v>696</v>
      </c>
    </row>
    <row r="1834" spans="1:3" x14ac:dyDescent="0.2">
      <c r="A1834" s="87" t="s">
        <v>291</v>
      </c>
      <c r="B1834" s="74" t="s">
        <v>272</v>
      </c>
      <c r="C1834" s="81">
        <v>696</v>
      </c>
    </row>
    <row r="1835" spans="1:3" x14ac:dyDescent="0.2">
      <c r="A1835" s="87" t="s">
        <v>291</v>
      </c>
      <c r="B1835" s="74" t="s">
        <v>272</v>
      </c>
      <c r="C1835" s="81">
        <v>696</v>
      </c>
    </row>
    <row r="1836" spans="1:3" x14ac:dyDescent="0.2">
      <c r="A1836" s="87" t="s">
        <v>291</v>
      </c>
      <c r="B1836" s="74" t="s">
        <v>272</v>
      </c>
      <c r="C1836" s="81">
        <v>696</v>
      </c>
    </row>
    <row r="1837" spans="1:3" x14ac:dyDescent="0.2">
      <c r="A1837" s="87" t="s">
        <v>291</v>
      </c>
      <c r="B1837" s="74" t="s">
        <v>272</v>
      </c>
      <c r="C1837" s="81">
        <v>696</v>
      </c>
    </row>
    <row r="1838" spans="1:3" x14ac:dyDescent="0.2">
      <c r="A1838" s="87" t="s">
        <v>291</v>
      </c>
      <c r="B1838" s="74" t="s">
        <v>272</v>
      </c>
      <c r="C1838" s="81">
        <v>696</v>
      </c>
    </row>
    <row r="1839" spans="1:3" x14ac:dyDescent="0.2">
      <c r="A1839" s="87" t="s">
        <v>291</v>
      </c>
      <c r="B1839" s="74" t="s">
        <v>272</v>
      </c>
      <c r="C1839" s="81">
        <v>696</v>
      </c>
    </row>
    <row r="1840" spans="1:3" x14ac:dyDescent="0.2">
      <c r="A1840" s="87" t="s">
        <v>291</v>
      </c>
      <c r="B1840" s="74" t="s">
        <v>272</v>
      </c>
      <c r="C1840" s="81">
        <v>696</v>
      </c>
    </row>
    <row r="1841" spans="1:3" x14ac:dyDescent="0.2">
      <c r="A1841" s="87" t="s">
        <v>291</v>
      </c>
      <c r="B1841" s="74" t="s">
        <v>272</v>
      </c>
      <c r="C1841" s="81">
        <v>696</v>
      </c>
    </row>
    <row r="1842" spans="1:3" x14ac:dyDescent="0.2">
      <c r="A1842" s="87" t="s">
        <v>291</v>
      </c>
      <c r="B1842" s="74" t="s">
        <v>272</v>
      </c>
      <c r="C1842" s="81">
        <v>696</v>
      </c>
    </row>
    <row r="1843" spans="1:3" x14ac:dyDescent="0.2">
      <c r="A1843" s="87" t="s">
        <v>291</v>
      </c>
      <c r="B1843" s="74" t="s">
        <v>272</v>
      </c>
      <c r="C1843" s="81">
        <v>696</v>
      </c>
    </row>
    <row r="1844" spans="1:3" x14ac:dyDescent="0.2">
      <c r="A1844" s="87" t="s">
        <v>291</v>
      </c>
      <c r="B1844" s="74" t="s">
        <v>272</v>
      </c>
      <c r="C1844" s="81">
        <v>696</v>
      </c>
    </row>
    <row r="1845" spans="1:3" x14ac:dyDescent="0.2">
      <c r="A1845" s="87" t="s">
        <v>291</v>
      </c>
      <c r="B1845" s="74" t="s">
        <v>272</v>
      </c>
      <c r="C1845" s="81">
        <v>696</v>
      </c>
    </row>
    <row r="1846" spans="1:3" x14ac:dyDescent="0.2">
      <c r="A1846" s="87" t="s">
        <v>291</v>
      </c>
      <c r="B1846" s="74" t="s">
        <v>272</v>
      </c>
      <c r="C1846" s="81">
        <v>696</v>
      </c>
    </row>
    <row r="1847" spans="1:3" x14ac:dyDescent="0.2">
      <c r="A1847" s="87" t="s">
        <v>291</v>
      </c>
      <c r="B1847" s="74" t="s">
        <v>272</v>
      </c>
      <c r="C1847" s="81">
        <v>696</v>
      </c>
    </row>
    <row r="1848" spans="1:3" x14ac:dyDescent="0.2">
      <c r="A1848" s="87" t="s">
        <v>291</v>
      </c>
      <c r="B1848" s="74" t="s">
        <v>272</v>
      </c>
      <c r="C1848" s="81">
        <v>696</v>
      </c>
    </row>
    <row r="1849" spans="1:3" x14ac:dyDescent="0.2">
      <c r="A1849" s="87" t="s">
        <v>291</v>
      </c>
      <c r="B1849" s="74" t="s">
        <v>272</v>
      </c>
      <c r="C1849" s="81">
        <v>696</v>
      </c>
    </row>
    <row r="1850" spans="1:3" x14ac:dyDescent="0.2">
      <c r="A1850" s="87" t="s">
        <v>291</v>
      </c>
      <c r="B1850" s="74" t="s">
        <v>272</v>
      </c>
      <c r="C1850" s="81">
        <v>696</v>
      </c>
    </row>
    <row r="1851" spans="1:3" x14ac:dyDescent="0.2">
      <c r="A1851" s="87" t="s">
        <v>291</v>
      </c>
      <c r="B1851" s="74" t="s">
        <v>272</v>
      </c>
      <c r="C1851" s="81">
        <v>696</v>
      </c>
    </row>
    <row r="1852" spans="1:3" x14ac:dyDescent="0.2">
      <c r="A1852" s="87" t="s">
        <v>291</v>
      </c>
      <c r="B1852" s="74" t="s">
        <v>272</v>
      </c>
      <c r="C1852" s="81">
        <v>696</v>
      </c>
    </row>
    <row r="1853" spans="1:3" x14ac:dyDescent="0.2">
      <c r="A1853" s="87" t="s">
        <v>291</v>
      </c>
      <c r="B1853" s="74" t="s">
        <v>272</v>
      </c>
      <c r="C1853" s="81">
        <v>696</v>
      </c>
    </row>
    <row r="1854" spans="1:3" x14ac:dyDescent="0.2">
      <c r="A1854" s="87" t="s">
        <v>291</v>
      </c>
      <c r="B1854" s="74" t="s">
        <v>272</v>
      </c>
      <c r="C1854" s="81">
        <v>696</v>
      </c>
    </row>
    <row r="1855" spans="1:3" x14ac:dyDescent="0.2">
      <c r="A1855" s="87" t="s">
        <v>291</v>
      </c>
      <c r="B1855" s="74" t="s">
        <v>272</v>
      </c>
      <c r="C1855" s="81">
        <v>696</v>
      </c>
    </row>
    <row r="1856" spans="1:3" x14ac:dyDescent="0.2">
      <c r="A1856" s="87" t="s">
        <v>291</v>
      </c>
      <c r="B1856" s="74" t="s">
        <v>272</v>
      </c>
      <c r="C1856" s="81">
        <v>696</v>
      </c>
    </row>
    <row r="1857" spans="1:3" x14ac:dyDescent="0.2">
      <c r="A1857" s="87" t="s">
        <v>291</v>
      </c>
      <c r="B1857" s="74" t="s">
        <v>272</v>
      </c>
      <c r="C1857" s="81">
        <v>696</v>
      </c>
    </row>
    <row r="1858" spans="1:3" x14ac:dyDescent="0.2">
      <c r="A1858" s="87" t="s">
        <v>291</v>
      </c>
      <c r="B1858" s="74" t="s">
        <v>272</v>
      </c>
      <c r="C1858" s="81">
        <v>696</v>
      </c>
    </row>
    <row r="1859" spans="1:3" x14ac:dyDescent="0.2">
      <c r="A1859" s="87" t="s">
        <v>291</v>
      </c>
      <c r="B1859" s="74" t="s">
        <v>272</v>
      </c>
      <c r="C1859" s="81">
        <v>696</v>
      </c>
    </row>
    <row r="1860" spans="1:3" x14ac:dyDescent="0.2">
      <c r="A1860" s="87" t="s">
        <v>291</v>
      </c>
      <c r="B1860" s="74" t="s">
        <v>272</v>
      </c>
      <c r="C1860" s="81">
        <v>696</v>
      </c>
    </row>
    <row r="1861" spans="1:3" x14ac:dyDescent="0.2">
      <c r="A1861" s="87" t="s">
        <v>291</v>
      </c>
      <c r="B1861" s="74" t="s">
        <v>272</v>
      </c>
      <c r="C1861" s="81">
        <v>696</v>
      </c>
    </row>
    <row r="1862" spans="1:3" x14ac:dyDescent="0.2">
      <c r="A1862" s="87" t="s">
        <v>291</v>
      </c>
      <c r="B1862" s="74" t="s">
        <v>272</v>
      </c>
      <c r="C1862" s="81">
        <v>696</v>
      </c>
    </row>
    <row r="1863" spans="1:3" x14ac:dyDescent="0.2">
      <c r="A1863" s="87" t="s">
        <v>291</v>
      </c>
      <c r="B1863" s="74" t="s">
        <v>272</v>
      </c>
      <c r="C1863" s="81">
        <v>696</v>
      </c>
    </row>
    <row r="1864" spans="1:3" x14ac:dyDescent="0.2">
      <c r="A1864" s="87" t="s">
        <v>291</v>
      </c>
      <c r="B1864" s="74" t="s">
        <v>272</v>
      </c>
      <c r="C1864" s="81">
        <v>696</v>
      </c>
    </row>
    <row r="1865" spans="1:3" x14ac:dyDescent="0.2">
      <c r="A1865" s="87" t="s">
        <v>291</v>
      </c>
      <c r="B1865" s="74" t="s">
        <v>272</v>
      </c>
      <c r="C1865" s="81">
        <v>696</v>
      </c>
    </row>
    <row r="1866" spans="1:3" x14ac:dyDescent="0.2">
      <c r="A1866" s="87" t="s">
        <v>291</v>
      </c>
      <c r="B1866" s="74" t="s">
        <v>272</v>
      </c>
      <c r="C1866" s="81">
        <v>696</v>
      </c>
    </row>
    <row r="1867" spans="1:3" x14ac:dyDescent="0.2">
      <c r="A1867" s="87" t="s">
        <v>291</v>
      </c>
      <c r="B1867" s="74" t="s">
        <v>272</v>
      </c>
      <c r="C1867" s="81">
        <v>696</v>
      </c>
    </row>
    <row r="1868" spans="1:3" x14ac:dyDescent="0.2">
      <c r="A1868" s="87" t="s">
        <v>291</v>
      </c>
      <c r="B1868" s="74" t="s">
        <v>272</v>
      </c>
      <c r="C1868" s="81">
        <v>696</v>
      </c>
    </row>
    <row r="1869" spans="1:3" x14ac:dyDescent="0.2">
      <c r="A1869" s="87" t="s">
        <v>291</v>
      </c>
      <c r="B1869" s="74" t="s">
        <v>272</v>
      </c>
      <c r="C1869" s="81">
        <v>696</v>
      </c>
    </row>
    <row r="1870" spans="1:3" x14ac:dyDescent="0.2">
      <c r="A1870" s="87" t="s">
        <v>291</v>
      </c>
      <c r="B1870" s="74" t="s">
        <v>272</v>
      </c>
      <c r="C1870" s="81">
        <v>696</v>
      </c>
    </row>
    <row r="1871" spans="1:3" x14ac:dyDescent="0.2">
      <c r="A1871" s="87" t="s">
        <v>291</v>
      </c>
      <c r="B1871" s="74" t="s">
        <v>272</v>
      </c>
      <c r="C1871" s="81">
        <v>696</v>
      </c>
    </row>
    <row r="1872" spans="1:3" x14ac:dyDescent="0.2">
      <c r="A1872" s="87" t="s">
        <v>291</v>
      </c>
      <c r="B1872" s="74" t="s">
        <v>272</v>
      </c>
      <c r="C1872" s="81">
        <v>696</v>
      </c>
    </row>
    <row r="1873" spans="1:3" x14ac:dyDescent="0.2">
      <c r="A1873" s="87" t="s">
        <v>291</v>
      </c>
      <c r="B1873" s="74" t="s">
        <v>272</v>
      </c>
      <c r="C1873" s="81">
        <v>696</v>
      </c>
    </row>
    <row r="1874" spans="1:3" x14ac:dyDescent="0.2">
      <c r="A1874" s="87" t="s">
        <v>291</v>
      </c>
      <c r="B1874" s="74" t="s">
        <v>272</v>
      </c>
      <c r="C1874" s="81">
        <v>696</v>
      </c>
    </row>
    <row r="1875" spans="1:3" x14ac:dyDescent="0.2">
      <c r="A1875" s="87" t="s">
        <v>291</v>
      </c>
      <c r="B1875" s="74" t="s">
        <v>272</v>
      </c>
      <c r="C1875" s="81">
        <v>696</v>
      </c>
    </row>
    <row r="1876" spans="1:3" x14ac:dyDescent="0.2">
      <c r="A1876" s="87" t="s">
        <v>291</v>
      </c>
      <c r="B1876" s="74" t="s">
        <v>272</v>
      </c>
      <c r="C1876" s="81">
        <v>696</v>
      </c>
    </row>
    <row r="1877" spans="1:3" ht="16.5" customHeight="1" x14ac:dyDescent="0.2">
      <c r="A1877" s="90" t="s">
        <v>291</v>
      </c>
      <c r="B1877" s="74" t="s">
        <v>273</v>
      </c>
      <c r="C1877" s="81">
        <v>709.99</v>
      </c>
    </row>
    <row r="1878" spans="1:3" ht="16.5" customHeight="1" x14ac:dyDescent="0.2">
      <c r="A1878" s="90" t="s">
        <v>291</v>
      </c>
      <c r="B1878" s="74" t="s">
        <v>273</v>
      </c>
      <c r="C1878" s="81">
        <v>709.99</v>
      </c>
    </row>
    <row r="1879" spans="1:3" ht="16.5" customHeight="1" x14ac:dyDescent="0.2">
      <c r="A1879" s="90" t="s">
        <v>291</v>
      </c>
      <c r="B1879" s="74" t="s">
        <v>273</v>
      </c>
      <c r="C1879" s="81">
        <v>709.99</v>
      </c>
    </row>
    <row r="1880" spans="1:3" ht="16.5" customHeight="1" x14ac:dyDescent="0.2">
      <c r="A1880" s="90" t="s">
        <v>291</v>
      </c>
      <c r="B1880" s="74" t="s">
        <v>273</v>
      </c>
      <c r="C1880" s="81">
        <v>709.99</v>
      </c>
    </row>
    <row r="1881" spans="1:3" ht="16.5" customHeight="1" x14ac:dyDescent="0.2">
      <c r="A1881" s="90" t="s">
        <v>291</v>
      </c>
      <c r="B1881" s="74" t="s">
        <v>273</v>
      </c>
      <c r="C1881" s="81">
        <v>709.99</v>
      </c>
    </row>
    <row r="1882" spans="1:3" ht="16.5" customHeight="1" x14ac:dyDescent="0.2">
      <c r="A1882" s="90" t="s">
        <v>291</v>
      </c>
      <c r="B1882" s="74" t="s">
        <v>273</v>
      </c>
      <c r="C1882" s="81">
        <v>709.99</v>
      </c>
    </row>
    <row r="1883" spans="1:3" ht="16.5" customHeight="1" x14ac:dyDescent="0.2">
      <c r="A1883" s="90" t="s">
        <v>291</v>
      </c>
      <c r="B1883" s="74" t="s">
        <v>273</v>
      </c>
      <c r="C1883" s="81">
        <v>709.99</v>
      </c>
    </row>
    <row r="1884" spans="1:3" ht="16.5" customHeight="1" x14ac:dyDescent="0.2">
      <c r="A1884" s="90" t="s">
        <v>291</v>
      </c>
      <c r="B1884" s="74" t="s">
        <v>273</v>
      </c>
      <c r="C1884" s="81">
        <v>709.99</v>
      </c>
    </row>
    <row r="1885" spans="1:3" ht="16.5" customHeight="1" x14ac:dyDescent="0.2">
      <c r="A1885" s="90" t="s">
        <v>291</v>
      </c>
      <c r="B1885" s="74" t="s">
        <v>273</v>
      </c>
      <c r="C1885" s="81">
        <v>709.99</v>
      </c>
    </row>
    <row r="1886" spans="1:3" ht="16.5" customHeight="1" x14ac:dyDescent="0.2">
      <c r="A1886" s="90" t="s">
        <v>291</v>
      </c>
      <c r="B1886" s="74" t="s">
        <v>273</v>
      </c>
      <c r="C1886" s="81">
        <v>709.99</v>
      </c>
    </row>
    <row r="1887" spans="1:3" ht="16.5" customHeight="1" x14ac:dyDescent="0.2">
      <c r="A1887" s="90" t="s">
        <v>291</v>
      </c>
      <c r="B1887" s="74" t="s">
        <v>273</v>
      </c>
      <c r="C1887" s="81">
        <v>709.99</v>
      </c>
    </row>
    <row r="1888" spans="1:3" ht="16.5" customHeight="1" x14ac:dyDescent="0.2">
      <c r="A1888" s="90" t="s">
        <v>291</v>
      </c>
      <c r="B1888" s="74" t="s">
        <v>273</v>
      </c>
      <c r="C1888" s="81">
        <v>709.99</v>
      </c>
    </row>
    <row r="1889" spans="1:3" ht="16.5" customHeight="1" x14ac:dyDescent="0.2">
      <c r="A1889" s="90" t="s">
        <v>291</v>
      </c>
      <c r="B1889" s="74" t="s">
        <v>273</v>
      </c>
      <c r="C1889" s="81">
        <v>709.99</v>
      </c>
    </row>
    <row r="1890" spans="1:3" ht="16.5" customHeight="1" x14ac:dyDescent="0.2">
      <c r="A1890" s="90" t="s">
        <v>291</v>
      </c>
      <c r="B1890" s="74" t="s">
        <v>273</v>
      </c>
      <c r="C1890" s="81">
        <v>709.99</v>
      </c>
    </row>
    <row r="1891" spans="1:3" ht="16.5" customHeight="1" x14ac:dyDescent="0.2">
      <c r="A1891" s="90" t="s">
        <v>291</v>
      </c>
      <c r="B1891" s="74" t="s">
        <v>273</v>
      </c>
      <c r="C1891" s="81">
        <v>709.99</v>
      </c>
    </row>
    <row r="1892" spans="1:3" ht="16.5" customHeight="1" x14ac:dyDescent="0.2">
      <c r="A1892" s="90" t="s">
        <v>291</v>
      </c>
      <c r="B1892" s="74" t="s">
        <v>273</v>
      </c>
      <c r="C1892" s="81">
        <v>709.99</v>
      </c>
    </row>
    <row r="1893" spans="1:3" ht="16.5" customHeight="1" x14ac:dyDescent="0.2">
      <c r="A1893" s="90" t="s">
        <v>291</v>
      </c>
      <c r="B1893" s="74" t="s">
        <v>273</v>
      </c>
      <c r="C1893" s="81">
        <v>709.99</v>
      </c>
    </row>
    <row r="1894" spans="1:3" ht="16.5" customHeight="1" x14ac:dyDescent="0.2">
      <c r="A1894" s="90" t="s">
        <v>291</v>
      </c>
      <c r="B1894" s="74" t="s">
        <v>273</v>
      </c>
      <c r="C1894" s="81">
        <v>709.99</v>
      </c>
    </row>
    <row r="1895" spans="1:3" ht="16.5" customHeight="1" x14ac:dyDescent="0.2">
      <c r="A1895" s="90" t="s">
        <v>291</v>
      </c>
      <c r="B1895" s="74" t="s">
        <v>273</v>
      </c>
      <c r="C1895" s="81">
        <v>709.99</v>
      </c>
    </row>
    <row r="1896" spans="1:3" ht="16.5" customHeight="1" x14ac:dyDescent="0.2">
      <c r="A1896" s="90" t="s">
        <v>291</v>
      </c>
      <c r="B1896" s="74" t="s">
        <v>273</v>
      </c>
      <c r="C1896" s="81">
        <v>709.98</v>
      </c>
    </row>
    <row r="1897" spans="1:3" x14ac:dyDescent="0.2">
      <c r="A1897" s="87" t="s">
        <v>291</v>
      </c>
      <c r="B1897" s="74" t="s">
        <v>274</v>
      </c>
      <c r="C1897" s="81">
        <v>2999</v>
      </c>
    </row>
    <row r="1898" spans="1:3" x14ac:dyDescent="0.2">
      <c r="A1898" s="87" t="s">
        <v>291</v>
      </c>
      <c r="B1898" s="74" t="s">
        <v>274</v>
      </c>
      <c r="C1898" s="81">
        <v>2999</v>
      </c>
    </row>
    <row r="1899" spans="1:3" x14ac:dyDescent="0.2">
      <c r="A1899" s="87" t="s">
        <v>291</v>
      </c>
      <c r="B1899" s="74" t="s">
        <v>274</v>
      </c>
      <c r="C1899" s="81">
        <v>2999</v>
      </c>
    </row>
    <row r="1900" spans="1:3" x14ac:dyDescent="0.2">
      <c r="A1900" s="87" t="s">
        <v>291</v>
      </c>
      <c r="B1900" s="74" t="s">
        <v>274</v>
      </c>
      <c r="C1900" s="81">
        <v>2999</v>
      </c>
    </row>
    <row r="1901" spans="1:3" x14ac:dyDescent="0.2">
      <c r="A1901" s="87" t="s">
        <v>291</v>
      </c>
      <c r="B1901" s="74" t="s">
        <v>274</v>
      </c>
      <c r="C1901" s="81">
        <v>2999</v>
      </c>
    </row>
    <row r="1902" spans="1:3" x14ac:dyDescent="0.2">
      <c r="A1902" s="90" t="s">
        <v>291</v>
      </c>
      <c r="B1902" s="74" t="s">
        <v>275</v>
      </c>
      <c r="C1902" s="81">
        <v>3995</v>
      </c>
    </row>
    <row r="1903" spans="1:3" x14ac:dyDescent="0.2">
      <c r="A1903" s="87" t="s">
        <v>291</v>
      </c>
      <c r="B1903" s="74" t="s">
        <v>274</v>
      </c>
      <c r="C1903" s="81">
        <v>2999</v>
      </c>
    </row>
    <row r="1904" spans="1:3" x14ac:dyDescent="0.2">
      <c r="A1904" s="87" t="s">
        <v>291</v>
      </c>
      <c r="B1904" s="74" t="s">
        <v>274</v>
      </c>
      <c r="C1904" s="81">
        <v>2999</v>
      </c>
    </row>
    <row r="1905" spans="1:3" x14ac:dyDescent="0.2">
      <c r="A1905" s="87" t="s">
        <v>291</v>
      </c>
      <c r="B1905" s="74" t="s">
        <v>274</v>
      </c>
      <c r="C1905" s="81">
        <v>2999</v>
      </c>
    </row>
    <row r="1906" spans="1:3" x14ac:dyDescent="0.2">
      <c r="A1906" s="87" t="s">
        <v>291</v>
      </c>
      <c r="B1906" s="74" t="s">
        <v>274</v>
      </c>
      <c r="C1906" s="81">
        <v>2999</v>
      </c>
    </row>
    <row r="1907" spans="1:3" ht="38.25" x14ac:dyDescent="0.2">
      <c r="A1907" s="87" t="s">
        <v>291</v>
      </c>
      <c r="B1907" s="74" t="s">
        <v>276</v>
      </c>
      <c r="C1907" s="81">
        <v>28350.09</v>
      </c>
    </row>
    <row r="1908" spans="1:3" x14ac:dyDescent="0.2">
      <c r="A1908" s="87" t="s">
        <v>291</v>
      </c>
      <c r="B1908" s="74" t="s">
        <v>274</v>
      </c>
      <c r="C1908" s="81">
        <v>2999</v>
      </c>
    </row>
    <row r="1909" spans="1:3" ht="15.95" customHeight="1" x14ac:dyDescent="0.2">
      <c r="A1909" s="90" t="s">
        <v>291</v>
      </c>
      <c r="B1909" s="74" t="s">
        <v>273</v>
      </c>
      <c r="C1909" s="81">
        <v>709.99</v>
      </c>
    </row>
    <row r="1910" spans="1:3" ht="15.95" customHeight="1" x14ac:dyDescent="0.2">
      <c r="A1910" s="90" t="s">
        <v>291</v>
      </c>
      <c r="B1910" s="74" t="s">
        <v>273</v>
      </c>
      <c r="C1910" s="81">
        <v>709.99</v>
      </c>
    </row>
    <row r="1911" spans="1:3" ht="15.95" customHeight="1" x14ac:dyDescent="0.2">
      <c r="A1911" s="90" t="s">
        <v>291</v>
      </c>
      <c r="B1911" s="74" t="s">
        <v>273</v>
      </c>
      <c r="C1911" s="81">
        <v>709.99</v>
      </c>
    </row>
    <row r="1912" spans="1:3" ht="15.95" customHeight="1" x14ac:dyDescent="0.2">
      <c r="A1912" s="90" t="s">
        <v>291</v>
      </c>
      <c r="B1912" s="74" t="s">
        <v>273</v>
      </c>
      <c r="C1912" s="81">
        <v>709.99</v>
      </c>
    </row>
    <row r="1913" spans="1:3" ht="15.95" customHeight="1" x14ac:dyDescent="0.2">
      <c r="A1913" s="90" t="s">
        <v>291</v>
      </c>
      <c r="B1913" s="74" t="s">
        <v>273</v>
      </c>
      <c r="C1913" s="81">
        <v>709.99</v>
      </c>
    </row>
    <row r="1914" spans="1:3" ht="15.95" customHeight="1" x14ac:dyDescent="0.2">
      <c r="A1914" s="90" t="s">
        <v>291</v>
      </c>
      <c r="B1914" s="74" t="s">
        <v>273</v>
      </c>
      <c r="C1914" s="81">
        <v>709.99</v>
      </c>
    </row>
    <row r="1915" spans="1:3" ht="15.95" customHeight="1" x14ac:dyDescent="0.2">
      <c r="A1915" s="90" t="s">
        <v>291</v>
      </c>
      <c r="B1915" s="74" t="s">
        <v>273</v>
      </c>
      <c r="C1915" s="81">
        <v>709.99</v>
      </c>
    </row>
    <row r="1916" spans="1:3" ht="15.95" customHeight="1" x14ac:dyDescent="0.2">
      <c r="A1916" s="90" t="s">
        <v>291</v>
      </c>
      <c r="B1916" s="74" t="s">
        <v>273</v>
      </c>
      <c r="C1916" s="81">
        <v>709.99</v>
      </c>
    </row>
    <row r="1917" spans="1:3" ht="15.95" customHeight="1" x14ac:dyDescent="0.2">
      <c r="A1917" s="90" t="s">
        <v>291</v>
      </c>
      <c r="B1917" s="74" t="s">
        <v>273</v>
      </c>
      <c r="C1917" s="81">
        <v>709.99</v>
      </c>
    </row>
    <row r="1918" spans="1:3" ht="15.95" customHeight="1" x14ac:dyDescent="0.2">
      <c r="A1918" s="90" t="s">
        <v>291</v>
      </c>
      <c r="B1918" s="74" t="s">
        <v>273</v>
      </c>
      <c r="C1918" s="81">
        <v>709.99</v>
      </c>
    </row>
    <row r="1919" spans="1:3" ht="15.95" customHeight="1" x14ac:dyDescent="0.2">
      <c r="A1919" s="90" t="s">
        <v>291</v>
      </c>
      <c r="B1919" s="74" t="s">
        <v>273</v>
      </c>
      <c r="C1919" s="81">
        <v>709.99</v>
      </c>
    </row>
    <row r="1920" spans="1:3" ht="15.95" customHeight="1" x14ac:dyDescent="0.2">
      <c r="A1920" s="90" t="s">
        <v>291</v>
      </c>
      <c r="B1920" s="74" t="s">
        <v>273</v>
      </c>
      <c r="C1920" s="81">
        <v>709.99</v>
      </c>
    </row>
    <row r="1921" spans="1:3" ht="15.95" customHeight="1" x14ac:dyDescent="0.2">
      <c r="A1921" s="90" t="s">
        <v>291</v>
      </c>
      <c r="B1921" s="74" t="s">
        <v>273</v>
      </c>
      <c r="C1921" s="81">
        <v>709.99</v>
      </c>
    </row>
    <row r="1922" spans="1:3" ht="15.95" customHeight="1" x14ac:dyDescent="0.2">
      <c r="A1922" s="90" t="s">
        <v>291</v>
      </c>
      <c r="B1922" s="74" t="s">
        <v>273</v>
      </c>
      <c r="C1922" s="81">
        <v>709.99</v>
      </c>
    </row>
    <row r="1923" spans="1:3" ht="15.95" customHeight="1" x14ac:dyDescent="0.2">
      <c r="A1923" s="90" t="s">
        <v>291</v>
      </c>
      <c r="B1923" s="74" t="s">
        <v>273</v>
      </c>
      <c r="C1923" s="81">
        <v>709.99</v>
      </c>
    </row>
    <row r="1924" spans="1:3" ht="15.95" customHeight="1" x14ac:dyDescent="0.2">
      <c r="A1924" s="90" t="s">
        <v>291</v>
      </c>
      <c r="B1924" s="74" t="s">
        <v>273</v>
      </c>
      <c r="C1924" s="81">
        <v>709.99</v>
      </c>
    </row>
    <row r="1925" spans="1:3" ht="15.95" customHeight="1" x14ac:dyDescent="0.2">
      <c r="A1925" s="90" t="s">
        <v>291</v>
      </c>
      <c r="B1925" s="74" t="s">
        <v>273</v>
      </c>
      <c r="C1925" s="81">
        <v>709.99</v>
      </c>
    </row>
    <row r="1926" spans="1:3" ht="15.95" customHeight="1" x14ac:dyDescent="0.2">
      <c r="A1926" s="90" t="s">
        <v>291</v>
      </c>
      <c r="B1926" s="74" t="s">
        <v>273</v>
      </c>
      <c r="C1926" s="81">
        <v>709.99</v>
      </c>
    </row>
    <row r="1927" spans="1:3" ht="15.95" customHeight="1" x14ac:dyDescent="0.2">
      <c r="A1927" s="90" t="s">
        <v>291</v>
      </c>
      <c r="B1927" s="74" t="s">
        <v>273</v>
      </c>
      <c r="C1927" s="81">
        <v>709.99</v>
      </c>
    </row>
    <row r="1928" spans="1:3" ht="15.95" customHeight="1" x14ac:dyDescent="0.2">
      <c r="A1928" s="90" t="s">
        <v>291</v>
      </c>
      <c r="B1928" s="74" t="s">
        <v>273</v>
      </c>
      <c r="C1928" s="81">
        <v>709.98</v>
      </c>
    </row>
    <row r="1929" spans="1:3" ht="25.5" x14ac:dyDescent="0.2">
      <c r="A1929" s="87" t="s">
        <v>291</v>
      </c>
      <c r="B1929" s="74" t="s">
        <v>277</v>
      </c>
      <c r="C1929" s="81">
        <v>7099.99</v>
      </c>
    </row>
    <row r="1930" spans="1:3" x14ac:dyDescent="0.2">
      <c r="A1930" s="87" t="s">
        <v>291</v>
      </c>
      <c r="B1930" s="74" t="s">
        <v>278</v>
      </c>
      <c r="C1930" s="81">
        <v>1490.01</v>
      </c>
    </row>
    <row r="1931" spans="1:3" x14ac:dyDescent="0.2">
      <c r="A1931" s="87" t="s">
        <v>291</v>
      </c>
      <c r="B1931" s="74" t="s">
        <v>278</v>
      </c>
      <c r="C1931" s="81">
        <v>1490.01</v>
      </c>
    </row>
    <row r="1932" spans="1:3" x14ac:dyDescent="0.2">
      <c r="A1932" s="87" t="s">
        <v>291</v>
      </c>
      <c r="B1932" s="74" t="s">
        <v>278</v>
      </c>
      <c r="C1932" s="81">
        <v>1490.01</v>
      </c>
    </row>
    <row r="1933" spans="1:3" ht="25.5" x14ac:dyDescent="0.2">
      <c r="A1933" s="87" t="s">
        <v>291</v>
      </c>
      <c r="B1933" s="74" t="s">
        <v>310</v>
      </c>
      <c r="C1933" s="81">
        <v>448</v>
      </c>
    </row>
    <row r="1934" spans="1:3" ht="25.5" x14ac:dyDescent="0.2">
      <c r="A1934" s="87" t="s">
        <v>291</v>
      </c>
      <c r="B1934" s="74" t="s">
        <v>310</v>
      </c>
      <c r="C1934" s="81">
        <v>448</v>
      </c>
    </row>
    <row r="1935" spans="1:3" ht="25.5" x14ac:dyDescent="0.2">
      <c r="A1935" s="87" t="s">
        <v>291</v>
      </c>
      <c r="B1935" s="74" t="s">
        <v>310</v>
      </c>
      <c r="C1935" s="81">
        <v>448</v>
      </c>
    </row>
    <row r="1936" spans="1:3" ht="25.5" x14ac:dyDescent="0.2">
      <c r="A1936" s="87" t="s">
        <v>291</v>
      </c>
      <c r="B1936" s="74" t="s">
        <v>310</v>
      </c>
      <c r="C1936" s="81">
        <v>448</v>
      </c>
    </row>
    <row r="1937" spans="1:3" ht="25.5" x14ac:dyDescent="0.2">
      <c r="A1937" s="87" t="s">
        <v>291</v>
      </c>
      <c r="B1937" s="74" t="s">
        <v>310</v>
      </c>
      <c r="C1937" s="81">
        <v>448</v>
      </c>
    </row>
    <row r="1938" spans="1:3" ht="25.5" x14ac:dyDescent="0.2">
      <c r="A1938" s="87" t="s">
        <v>291</v>
      </c>
      <c r="B1938" s="74" t="s">
        <v>310</v>
      </c>
      <c r="C1938" s="81">
        <v>448</v>
      </c>
    </row>
    <row r="1939" spans="1:3" ht="25.5" x14ac:dyDescent="0.2">
      <c r="A1939" s="87" t="s">
        <v>291</v>
      </c>
      <c r="B1939" s="74" t="s">
        <v>310</v>
      </c>
      <c r="C1939" s="81">
        <v>448</v>
      </c>
    </row>
    <row r="1940" spans="1:3" ht="25.5" x14ac:dyDescent="0.2">
      <c r="A1940" s="87" t="s">
        <v>291</v>
      </c>
      <c r="B1940" s="74" t="s">
        <v>310</v>
      </c>
      <c r="C1940" s="81">
        <v>448</v>
      </c>
    </row>
    <row r="1941" spans="1:3" ht="25.5" x14ac:dyDescent="0.2">
      <c r="A1941" s="87" t="s">
        <v>291</v>
      </c>
      <c r="B1941" s="74" t="s">
        <v>310</v>
      </c>
      <c r="C1941" s="81">
        <v>448</v>
      </c>
    </row>
    <row r="1942" spans="1:3" ht="25.5" x14ac:dyDescent="0.2">
      <c r="A1942" s="87" t="s">
        <v>291</v>
      </c>
      <c r="B1942" s="74" t="s">
        <v>310</v>
      </c>
      <c r="C1942" s="81">
        <v>448</v>
      </c>
    </row>
    <row r="1943" spans="1:3" ht="25.5" x14ac:dyDescent="0.2">
      <c r="A1943" s="87" t="s">
        <v>291</v>
      </c>
      <c r="B1943" s="74" t="s">
        <v>310</v>
      </c>
      <c r="C1943" s="81">
        <v>448</v>
      </c>
    </row>
    <row r="1944" spans="1:3" ht="25.5" x14ac:dyDescent="0.2">
      <c r="A1944" s="87" t="s">
        <v>291</v>
      </c>
      <c r="B1944" s="74" t="s">
        <v>310</v>
      </c>
      <c r="C1944" s="81">
        <v>448</v>
      </c>
    </row>
    <row r="1945" spans="1:3" ht="25.5" x14ac:dyDescent="0.2">
      <c r="A1945" s="87" t="s">
        <v>291</v>
      </c>
      <c r="B1945" s="74" t="s">
        <v>310</v>
      </c>
      <c r="C1945" s="81">
        <v>448</v>
      </c>
    </row>
    <row r="1946" spans="1:3" ht="25.5" x14ac:dyDescent="0.2">
      <c r="A1946" s="87" t="s">
        <v>291</v>
      </c>
      <c r="B1946" s="74" t="s">
        <v>310</v>
      </c>
      <c r="C1946" s="81">
        <v>448</v>
      </c>
    </row>
    <row r="1947" spans="1:3" ht="25.5" x14ac:dyDescent="0.2">
      <c r="A1947" s="87" t="s">
        <v>291</v>
      </c>
      <c r="B1947" s="74" t="s">
        <v>310</v>
      </c>
      <c r="C1947" s="81">
        <v>448</v>
      </c>
    </row>
    <row r="1948" spans="1:3" ht="25.5" x14ac:dyDescent="0.2">
      <c r="A1948" s="87" t="s">
        <v>291</v>
      </c>
      <c r="B1948" s="74" t="s">
        <v>310</v>
      </c>
      <c r="C1948" s="81">
        <v>448</v>
      </c>
    </row>
    <row r="1949" spans="1:3" ht="25.5" x14ac:dyDescent="0.2">
      <c r="A1949" s="87" t="s">
        <v>291</v>
      </c>
      <c r="B1949" s="74" t="s">
        <v>310</v>
      </c>
      <c r="C1949" s="81">
        <v>448</v>
      </c>
    </row>
    <row r="1950" spans="1:3" ht="25.5" x14ac:dyDescent="0.2">
      <c r="A1950" s="87" t="s">
        <v>291</v>
      </c>
      <c r="B1950" s="74" t="s">
        <v>310</v>
      </c>
      <c r="C1950" s="81">
        <v>448</v>
      </c>
    </row>
    <row r="1951" spans="1:3" ht="25.5" x14ac:dyDescent="0.2">
      <c r="A1951" s="87" t="s">
        <v>291</v>
      </c>
      <c r="B1951" s="74" t="s">
        <v>310</v>
      </c>
      <c r="C1951" s="81">
        <v>448</v>
      </c>
    </row>
    <row r="1952" spans="1:3" ht="25.5" x14ac:dyDescent="0.2">
      <c r="A1952" s="87" t="s">
        <v>291</v>
      </c>
      <c r="B1952" s="74" t="s">
        <v>310</v>
      </c>
      <c r="C1952" s="81">
        <v>448</v>
      </c>
    </row>
    <row r="1953" spans="1:3" ht="25.5" x14ac:dyDescent="0.2">
      <c r="A1953" s="87" t="s">
        <v>291</v>
      </c>
      <c r="B1953" s="74" t="s">
        <v>310</v>
      </c>
      <c r="C1953" s="81">
        <v>448</v>
      </c>
    </row>
    <row r="1954" spans="1:3" ht="25.5" x14ac:dyDescent="0.2">
      <c r="A1954" s="87" t="s">
        <v>291</v>
      </c>
      <c r="B1954" s="74" t="s">
        <v>310</v>
      </c>
      <c r="C1954" s="81">
        <v>448</v>
      </c>
    </row>
    <row r="1955" spans="1:3" ht="25.5" x14ac:dyDescent="0.2">
      <c r="A1955" s="87" t="s">
        <v>291</v>
      </c>
      <c r="B1955" s="74" t="s">
        <v>310</v>
      </c>
      <c r="C1955" s="81">
        <v>448</v>
      </c>
    </row>
    <row r="1956" spans="1:3" ht="25.5" x14ac:dyDescent="0.2">
      <c r="A1956" s="87" t="s">
        <v>291</v>
      </c>
      <c r="B1956" s="74" t="s">
        <v>310</v>
      </c>
      <c r="C1956" s="81">
        <v>448</v>
      </c>
    </row>
    <row r="1957" spans="1:3" ht="25.5" x14ac:dyDescent="0.2">
      <c r="A1957" s="87" t="s">
        <v>291</v>
      </c>
      <c r="B1957" s="74" t="s">
        <v>310</v>
      </c>
      <c r="C1957" s="81">
        <v>448</v>
      </c>
    </row>
    <row r="1958" spans="1:3" ht="25.5" x14ac:dyDescent="0.2">
      <c r="A1958" s="87" t="s">
        <v>291</v>
      </c>
      <c r="B1958" s="74" t="s">
        <v>310</v>
      </c>
      <c r="C1958" s="81">
        <v>448</v>
      </c>
    </row>
    <row r="1959" spans="1:3" ht="25.5" x14ac:dyDescent="0.2">
      <c r="A1959" s="87" t="s">
        <v>291</v>
      </c>
      <c r="B1959" s="74" t="s">
        <v>310</v>
      </c>
      <c r="C1959" s="81">
        <v>448</v>
      </c>
    </row>
    <row r="1960" spans="1:3" ht="25.5" x14ac:dyDescent="0.2">
      <c r="A1960" s="87" t="s">
        <v>291</v>
      </c>
      <c r="B1960" s="74" t="s">
        <v>310</v>
      </c>
      <c r="C1960" s="81">
        <v>448</v>
      </c>
    </row>
    <row r="1961" spans="1:3" ht="25.5" x14ac:dyDescent="0.2">
      <c r="A1961" s="87" t="s">
        <v>291</v>
      </c>
      <c r="B1961" s="74" t="s">
        <v>310</v>
      </c>
      <c r="C1961" s="81">
        <v>448</v>
      </c>
    </row>
    <row r="1962" spans="1:3" ht="25.5" x14ac:dyDescent="0.2">
      <c r="A1962" s="87" t="s">
        <v>291</v>
      </c>
      <c r="B1962" s="74" t="s">
        <v>310</v>
      </c>
      <c r="C1962" s="81">
        <v>448</v>
      </c>
    </row>
    <row r="1963" spans="1:3" ht="25.5" x14ac:dyDescent="0.2">
      <c r="A1963" s="87" t="s">
        <v>291</v>
      </c>
      <c r="B1963" s="74" t="s">
        <v>310</v>
      </c>
      <c r="C1963" s="81">
        <v>448</v>
      </c>
    </row>
    <row r="1964" spans="1:3" ht="25.5" x14ac:dyDescent="0.2">
      <c r="A1964" s="87" t="s">
        <v>291</v>
      </c>
      <c r="B1964" s="74" t="s">
        <v>310</v>
      </c>
      <c r="C1964" s="81">
        <v>448</v>
      </c>
    </row>
    <row r="1965" spans="1:3" ht="25.5" x14ac:dyDescent="0.2">
      <c r="A1965" s="87" t="s">
        <v>291</v>
      </c>
      <c r="B1965" s="74" t="s">
        <v>310</v>
      </c>
      <c r="C1965" s="81">
        <v>448</v>
      </c>
    </row>
    <row r="1966" spans="1:3" ht="25.5" x14ac:dyDescent="0.2">
      <c r="A1966" s="87" t="s">
        <v>291</v>
      </c>
      <c r="B1966" s="74" t="s">
        <v>310</v>
      </c>
      <c r="C1966" s="81">
        <v>448</v>
      </c>
    </row>
    <row r="1967" spans="1:3" ht="25.5" x14ac:dyDescent="0.2">
      <c r="A1967" s="87" t="s">
        <v>291</v>
      </c>
      <c r="B1967" s="74" t="s">
        <v>310</v>
      </c>
      <c r="C1967" s="81">
        <v>448</v>
      </c>
    </row>
    <row r="1968" spans="1:3" ht="25.5" x14ac:dyDescent="0.2">
      <c r="A1968" s="87" t="s">
        <v>291</v>
      </c>
      <c r="B1968" s="74" t="s">
        <v>310</v>
      </c>
      <c r="C1968" s="81">
        <v>448</v>
      </c>
    </row>
    <row r="1969" spans="1:3" ht="25.5" x14ac:dyDescent="0.2">
      <c r="A1969" s="87" t="s">
        <v>291</v>
      </c>
      <c r="B1969" s="74" t="s">
        <v>310</v>
      </c>
      <c r="C1969" s="81">
        <v>448</v>
      </c>
    </row>
    <row r="1970" spans="1:3" ht="25.5" x14ac:dyDescent="0.2">
      <c r="A1970" s="87" t="s">
        <v>291</v>
      </c>
      <c r="B1970" s="74" t="s">
        <v>310</v>
      </c>
      <c r="C1970" s="81">
        <v>448</v>
      </c>
    </row>
    <row r="1971" spans="1:3" ht="25.5" x14ac:dyDescent="0.2">
      <c r="A1971" s="87" t="s">
        <v>291</v>
      </c>
      <c r="B1971" s="74" t="s">
        <v>310</v>
      </c>
      <c r="C1971" s="81">
        <v>448</v>
      </c>
    </row>
    <row r="1972" spans="1:3" ht="25.5" x14ac:dyDescent="0.2">
      <c r="A1972" s="87" t="s">
        <v>291</v>
      </c>
      <c r="B1972" s="74" t="s">
        <v>310</v>
      </c>
      <c r="C1972" s="81">
        <v>448</v>
      </c>
    </row>
    <row r="1973" spans="1:3" ht="25.5" x14ac:dyDescent="0.2">
      <c r="A1973" s="87" t="s">
        <v>291</v>
      </c>
      <c r="B1973" s="74" t="s">
        <v>310</v>
      </c>
      <c r="C1973" s="81">
        <v>448</v>
      </c>
    </row>
    <row r="1974" spans="1:3" ht="25.5" x14ac:dyDescent="0.2">
      <c r="A1974" s="87" t="s">
        <v>291</v>
      </c>
      <c r="B1974" s="74" t="s">
        <v>310</v>
      </c>
      <c r="C1974" s="81">
        <v>448</v>
      </c>
    </row>
    <row r="1975" spans="1:3" ht="25.5" x14ac:dyDescent="0.2">
      <c r="A1975" s="87" t="s">
        <v>291</v>
      </c>
      <c r="B1975" s="74" t="s">
        <v>310</v>
      </c>
      <c r="C1975" s="81">
        <v>448</v>
      </c>
    </row>
    <row r="1976" spans="1:3" ht="25.5" x14ac:dyDescent="0.2">
      <c r="A1976" s="87" t="s">
        <v>291</v>
      </c>
      <c r="B1976" s="74" t="s">
        <v>310</v>
      </c>
      <c r="C1976" s="81">
        <v>448</v>
      </c>
    </row>
    <row r="1977" spans="1:3" ht="25.5" x14ac:dyDescent="0.2">
      <c r="A1977" s="87" t="s">
        <v>291</v>
      </c>
      <c r="B1977" s="74" t="s">
        <v>310</v>
      </c>
      <c r="C1977" s="81">
        <v>448</v>
      </c>
    </row>
    <row r="1978" spans="1:3" ht="25.5" x14ac:dyDescent="0.2">
      <c r="A1978" s="87" t="s">
        <v>291</v>
      </c>
      <c r="B1978" s="74" t="s">
        <v>310</v>
      </c>
      <c r="C1978" s="81">
        <v>448</v>
      </c>
    </row>
    <row r="1979" spans="1:3" ht="25.5" x14ac:dyDescent="0.2">
      <c r="A1979" s="87" t="s">
        <v>291</v>
      </c>
      <c r="B1979" s="74" t="s">
        <v>310</v>
      </c>
      <c r="C1979" s="81">
        <v>448</v>
      </c>
    </row>
    <row r="1980" spans="1:3" ht="25.5" x14ac:dyDescent="0.2">
      <c r="A1980" s="87" t="s">
        <v>291</v>
      </c>
      <c r="B1980" s="74" t="s">
        <v>310</v>
      </c>
      <c r="C1980" s="81">
        <v>448</v>
      </c>
    </row>
    <row r="1981" spans="1:3" ht="25.5" x14ac:dyDescent="0.2">
      <c r="A1981" s="87" t="s">
        <v>291</v>
      </c>
      <c r="B1981" s="74" t="s">
        <v>310</v>
      </c>
      <c r="C1981" s="81">
        <v>448</v>
      </c>
    </row>
    <row r="1982" spans="1:3" ht="25.5" x14ac:dyDescent="0.2">
      <c r="A1982" s="87" t="s">
        <v>291</v>
      </c>
      <c r="B1982" s="74" t="s">
        <v>310</v>
      </c>
      <c r="C1982" s="81">
        <v>448</v>
      </c>
    </row>
    <row r="1983" spans="1:3" ht="25.5" x14ac:dyDescent="0.2">
      <c r="A1983" s="87" t="s">
        <v>291</v>
      </c>
      <c r="B1983" s="74" t="s">
        <v>310</v>
      </c>
      <c r="C1983" s="81">
        <v>448</v>
      </c>
    </row>
    <row r="1984" spans="1:3" ht="25.5" x14ac:dyDescent="0.2">
      <c r="A1984" s="87" t="s">
        <v>291</v>
      </c>
      <c r="B1984" s="74" t="s">
        <v>310</v>
      </c>
      <c r="C1984" s="81">
        <v>448</v>
      </c>
    </row>
    <row r="1985" spans="1:3" ht="25.5" x14ac:dyDescent="0.2">
      <c r="A1985" s="87" t="s">
        <v>291</v>
      </c>
      <c r="B1985" s="74" t="s">
        <v>310</v>
      </c>
      <c r="C1985" s="81">
        <v>448</v>
      </c>
    </row>
    <row r="1986" spans="1:3" ht="25.5" x14ac:dyDescent="0.2">
      <c r="A1986" s="87" t="s">
        <v>291</v>
      </c>
      <c r="B1986" s="74" t="s">
        <v>310</v>
      </c>
      <c r="C1986" s="81">
        <v>448</v>
      </c>
    </row>
    <row r="1987" spans="1:3" ht="25.5" x14ac:dyDescent="0.2">
      <c r="A1987" s="87" t="s">
        <v>291</v>
      </c>
      <c r="B1987" s="74" t="s">
        <v>310</v>
      </c>
      <c r="C1987" s="81">
        <v>448</v>
      </c>
    </row>
    <row r="1988" spans="1:3" ht="25.5" x14ac:dyDescent="0.2">
      <c r="A1988" s="87" t="s">
        <v>291</v>
      </c>
      <c r="B1988" s="74" t="s">
        <v>310</v>
      </c>
      <c r="C1988" s="81">
        <v>448</v>
      </c>
    </row>
    <row r="1989" spans="1:3" ht="25.5" x14ac:dyDescent="0.2">
      <c r="A1989" s="87" t="s">
        <v>291</v>
      </c>
      <c r="B1989" s="74" t="s">
        <v>310</v>
      </c>
      <c r="C1989" s="81">
        <v>448</v>
      </c>
    </row>
    <row r="1990" spans="1:3" ht="25.5" x14ac:dyDescent="0.2">
      <c r="A1990" s="87" t="s">
        <v>291</v>
      </c>
      <c r="B1990" s="74" t="s">
        <v>310</v>
      </c>
      <c r="C1990" s="81">
        <v>448</v>
      </c>
    </row>
    <row r="1991" spans="1:3" ht="25.5" x14ac:dyDescent="0.2">
      <c r="A1991" s="87" t="s">
        <v>291</v>
      </c>
      <c r="B1991" s="74" t="s">
        <v>310</v>
      </c>
      <c r="C1991" s="81">
        <v>448</v>
      </c>
    </row>
    <row r="1992" spans="1:3" ht="25.5" x14ac:dyDescent="0.2">
      <c r="A1992" s="87" t="s">
        <v>291</v>
      </c>
      <c r="B1992" s="74" t="s">
        <v>310</v>
      </c>
      <c r="C1992" s="81">
        <v>448</v>
      </c>
    </row>
    <row r="1993" spans="1:3" ht="25.5" x14ac:dyDescent="0.2">
      <c r="A1993" s="87" t="s">
        <v>291</v>
      </c>
      <c r="B1993" s="74" t="s">
        <v>310</v>
      </c>
      <c r="C1993" s="81">
        <v>448</v>
      </c>
    </row>
    <row r="1994" spans="1:3" ht="25.5" x14ac:dyDescent="0.2">
      <c r="A1994" s="87" t="s">
        <v>291</v>
      </c>
      <c r="B1994" s="74" t="s">
        <v>310</v>
      </c>
      <c r="C1994" s="81">
        <v>448</v>
      </c>
    </row>
    <row r="1995" spans="1:3" ht="25.5" x14ac:dyDescent="0.2">
      <c r="A1995" s="87" t="s">
        <v>291</v>
      </c>
      <c r="B1995" s="74" t="s">
        <v>310</v>
      </c>
      <c r="C1995" s="81">
        <v>448</v>
      </c>
    </row>
    <row r="1996" spans="1:3" ht="25.5" x14ac:dyDescent="0.2">
      <c r="A1996" s="87" t="s">
        <v>291</v>
      </c>
      <c r="B1996" s="74" t="s">
        <v>310</v>
      </c>
      <c r="C1996" s="81">
        <v>448</v>
      </c>
    </row>
    <row r="1997" spans="1:3" ht="25.5" x14ac:dyDescent="0.2">
      <c r="A1997" s="87" t="s">
        <v>291</v>
      </c>
      <c r="B1997" s="74" t="s">
        <v>310</v>
      </c>
      <c r="C1997" s="81">
        <v>448</v>
      </c>
    </row>
    <row r="1998" spans="1:3" ht="25.5" x14ac:dyDescent="0.2">
      <c r="A1998" s="87" t="s">
        <v>291</v>
      </c>
      <c r="B1998" s="74" t="s">
        <v>310</v>
      </c>
      <c r="C1998" s="81">
        <v>448</v>
      </c>
    </row>
    <row r="1999" spans="1:3" ht="25.5" x14ac:dyDescent="0.2">
      <c r="A1999" s="87" t="s">
        <v>291</v>
      </c>
      <c r="B1999" s="74" t="s">
        <v>310</v>
      </c>
      <c r="C1999" s="81">
        <v>448</v>
      </c>
    </row>
    <row r="2000" spans="1:3" ht="25.5" x14ac:dyDescent="0.2">
      <c r="A2000" s="87" t="s">
        <v>291</v>
      </c>
      <c r="B2000" s="74" t="s">
        <v>310</v>
      </c>
      <c r="C2000" s="81">
        <v>448</v>
      </c>
    </row>
    <row r="2001" spans="1:3" ht="25.5" x14ac:dyDescent="0.2">
      <c r="A2001" s="87" t="s">
        <v>291</v>
      </c>
      <c r="B2001" s="74" t="s">
        <v>310</v>
      </c>
      <c r="C2001" s="81">
        <v>448</v>
      </c>
    </row>
    <row r="2002" spans="1:3" ht="25.5" x14ac:dyDescent="0.2">
      <c r="A2002" s="87" t="s">
        <v>291</v>
      </c>
      <c r="B2002" s="74" t="s">
        <v>310</v>
      </c>
      <c r="C2002" s="81">
        <v>448</v>
      </c>
    </row>
    <row r="2003" spans="1:3" ht="25.5" x14ac:dyDescent="0.2">
      <c r="A2003" s="87" t="s">
        <v>291</v>
      </c>
      <c r="B2003" s="74" t="s">
        <v>310</v>
      </c>
      <c r="C2003" s="81">
        <v>448</v>
      </c>
    </row>
    <row r="2004" spans="1:3" ht="25.5" x14ac:dyDescent="0.2">
      <c r="A2004" s="87" t="s">
        <v>291</v>
      </c>
      <c r="B2004" s="74" t="s">
        <v>310</v>
      </c>
      <c r="C2004" s="81">
        <v>448</v>
      </c>
    </row>
    <row r="2005" spans="1:3" ht="25.5" x14ac:dyDescent="0.2">
      <c r="A2005" s="87" t="s">
        <v>291</v>
      </c>
      <c r="B2005" s="74" t="s">
        <v>310</v>
      </c>
      <c r="C2005" s="81">
        <v>448</v>
      </c>
    </row>
    <row r="2006" spans="1:3" ht="25.5" x14ac:dyDescent="0.2">
      <c r="A2006" s="87" t="s">
        <v>291</v>
      </c>
      <c r="B2006" s="74" t="s">
        <v>310</v>
      </c>
      <c r="C2006" s="81">
        <v>448</v>
      </c>
    </row>
    <row r="2007" spans="1:3" ht="25.5" x14ac:dyDescent="0.2">
      <c r="A2007" s="87" t="s">
        <v>291</v>
      </c>
      <c r="B2007" s="74" t="s">
        <v>310</v>
      </c>
      <c r="C2007" s="81">
        <v>448</v>
      </c>
    </row>
    <row r="2008" spans="1:3" ht="25.5" x14ac:dyDescent="0.2">
      <c r="A2008" s="87" t="s">
        <v>291</v>
      </c>
      <c r="B2008" s="74" t="s">
        <v>310</v>
      </c>
      <c r="C2008" s="81">
        <v>448</v>
      </c>
    </row>
    <row r="2009" spans="1:3" ht="25.5" x14ac:dyDescent="0.2">
      <c r="A2009" s="87" t="s">
        <v>291</v>
      </c>
      <c r="B2009" s="74" t="s">
        <v>310</v>
      </c>
      <c r="C2009" s="81">
        <v>448</v>
      </c>
    </row>
    <row r="2010" spans="1:3" ht="25.5" x14ac:dyDescent="0.2">
      <c r="A2010" s="87" t="s">
        <v>291</v>
      </c>
      <c r="B2010" s="74" t="s">
        <v>310</v>
      </c>
      <c r="C2010" s="81">
        <v>448</v>
      </c>
    </row>
    <row r="2011" spans="1:3" ht="25.5" x14ac:dyDescent="0.2">
      <c r="A2011" s="87" t="s">
        <v>291</v>
      </c>
      <c r="B2011" s="74" t="s">
        <v>310</v>
      </c>
      <c r="C2011" s="81">
        <v>448</v>
      </c>
    </row>
    <row r="2012" spans="1:3" ht="25.5" x14ac:dyDescent="0.2">
      <c r="A2012" s="87" t="s">
        <v>291</v>
      </c>
      <c r="B2012" s="74" t="s">
        <v>310</v>
      </c>
      <c r="C2012" s="81">
        <v>448</v>
      </c>
    </row>
    <row r="2013" spans="1:3" ht="25.5" x14ac:dyDescent="0.2">
      <c r="A2013" s="87" t="s">
        <v>291</v>
      </c>
      <c r="B2013" s="74" t="s">
        <v>310</v>
      </c>
      <c r="C2013" s="81">
        <v>448</v>
      </c>
    </row>
    <row r="2014" spans="1:3" ht="25.5" x14ac:dyDescent="0.2">
      <c r="A2014" s="87" t="s">
        <v>291</v>
      </c>
      <c r="B2014" s="74" t="s">
        <v>310</v>
      </c>
      <c r="C2014" s="81">
        <v>448</v>
      </c>
    </row>
    <row r="2015" spans="1:3" ht="25.5" x14ac:dyDescent="0.2">
      <c r="A2015" s="87" t="s">
        <v>291</v>
      </c>
      <c r="B2015" s="74" t="s">
        <v>310</v>
      </c>
      <c r="C2015" s="81">
        <v>448</v>
      </c>
    </row>
    <row r="2016" spans="1:3" ht="25.5" x14ac:dyDescent="0.2">
      <c r="A2016" s="87" t="s">
        <v>291</v>
      </c>
      <c r="B2016" s="74" t="s">
        <v>310</v>
      </c>
      <c r="C2016" s="81">
        <v>448</v>
      </c>
    </row>
    <row r="2017" spans="1:3" ht="25.5" x14ac:dyDescent="0.2">
      <c r="A2017" s="87" t="s">
        <v>291</v>
      </c>
      <c r="B2017" s="74" t="s">
        <v>310</v>
      </c>
      <c r="C2017" s="81">
        <v>448</v>
      </c>
    </row>
    <row r="2018" spans="1:3" ht="25.5" x14ac:dyDescent="0.2">
      <c r="A2018" s="87" t="s">
        <v>291</v>
      </c>
      <c r="B2018" s="74" t="s">
        <v>310</v>
      </c>
      <c r="C2018" s="81">
        <v>448</v>
      </c>
    </row>
    <row r="2019" spans="1:3" ht="25.5" x14ac:dyDescent="0.2">
      <c r="A2019" s="87" t="s">
        <v>291</v>
      </c>
      <c r="B2019" s="74" t="s">
        <v>310</v>
      </c>
      <c r="C2019" s="81">
        <v>448</v>
      </c>
    </row>
    <row r="2020" spans="1:3" ht="25.5" x14ac:dyDescent="0.2">
      <c r="A2020" s="87" t="s">
        <v>291</v>
      </c>
      <c r="B2020" s="74" t="s">
        <v>310</v>
      </c>
      <c r="C2020" s="81">
        <v>448</v>
      </c>
    </row>
    <row r="2021" spans="1:3" ht="25.5" x14ac:dyDescent="0.2">
      <c r="A2021" s="87" t="s">
        <v>291</v>
      </c>
      <c r="B2021" s="74" t="s">
        <v>310</v>
      </c>
      <c r="C2021" s="81">
        <v>448</v>
      </c>
    </row>
    <row r="2022" spans="1:3" ht="25.5" x14ac:dyDescent="0.2">
      <c r="A2022" s="87" t="s">
        <v>291</v>
      </c>
      <c r="B2022" s="74" t="s">
        <v>310</v>
      </c>
      <c r="C2022" s="81">
        <v>448</v>
      </c>
    </row>
    <row r="2023" spans="1:3" ht="25.5" x14ac:dyDescent="0.2">
      <c r="A2023" s="87" t="s">
        <v>291</v>
      </c>
      <c r="B2023" s="74" t="s">
        <v>310</v>
      </c>
      <c r="C2023" s="81">
        <v>448</v>
      </c>
    </row>
    <row r="2024" spans="1:3" ht="25.5" x14ac:dyDescent="0.2">
      <c r="A2024" s="87" t="s">
        <v>291</v>
      </c>
      <c r="B2024" s="74" t="s">
        <v>310</v>
      </c>
      <c r="C2024" s="81">
        <v>448</v>
      </c>
    </row>
    <row r="2025" spans="1:3" ht="25.5" x14ac:dyDescent="0.2">
      <c r="A2025" s="87" t="s">
        <v>291</v>
      </c>
      <c r="B2025" s="74" t="s">
        <v>310</v>
      </c>
      <c r="C2025" s="81">
        <v>448</v>
      </c>
    </row>
    <row r="2026" spans="1:3" ht="25.5" x14ac:dyDescent="0.2">
      <c r="A2026" s="87" t="s">
        <v>291</v>
      </c>
      <c r="B2026" s="74" t="s">
        <v>310</v>
      </c>
      <c r="C2026" s="81">
        <v>448</v>
      </c>
    </row>
    <row r="2027" spans="1:3" ht="25.5" x14ac:dyDescent="0.2">
      <c r="A2027" s="87" t="s">
        <v>291</v>
      </c>
      <c r="B2027" s="74" t="s">
        <v>310</v>
      </c>
      <c r="C2027" s="81">
        <v>448</v>
      </c>
    </row>
    <row r="2028" spans="1:3" ht="25.5" x14ac:dyDescent="0.2">
      <c r="A2028" s="87" t="s">
        <v>291</v>
      </c>
      <c r="B2028" s="74" t="s">
        <v>310</v>
      </c>
      <c r="C2028" s="81">
        <v>448</v>
      </c>
    </row>
    <row r="2029" spans="1:3" ht="25.5" x14ac:dyDescent="0.2">
      <c r="A2029" s="87" t="s">
        <v>291</v>
      </c>
      <c r="B2029" s="74" t="s">
        <v>310</v>
      </c>
      <c r="C2029" s="81">
        <v>448</v>
      </c>
    </row>
    <row r="2030" spans="1:3" ht="25.5" x14ac:dyDescent="0.2">
      <c r="A2030" s="87" t="s">
        <v>291</v>
      </c>
      <c r="B2030" s="74" t="s">
        <v>310</v>
      </c>
      <c r="C2030" s="81">
        <v>448</v>
      </c>
    </row>
    <row r="2031" spans="1:3" ht="25.5" x14ac:dyDescent="0.2">
      <c r="A2031" s="87" t="s">
        <v>291</v>
      </c>
      <c r="B2031" s="74" t="s">
        <v>310</v>
      </c>
      <c r="C2031" s="81">
        <v>448</v>
      </c>
    </row>
    <row r="2032" spans="1:3" ht="25.5" x14ac:dyDescent="0.2">
      <c r="A2032" s="87" t="s">
        <v>291</v>
      </c>
      <c r="B2032" s="74" t="s">
        <v>310</v>
      </c>
      <c r="C2032" s="81">
        <v>448</v>
      </c>
    </row>
    <row r="2033" spans="1:3" x14ac:dyDescent="0.2">
      <c r="A2033" s="97" t="s">
        <v>291</v>
      </c>
      <c r="B2033" s="94" t="s">
        <v>279</v>
      </c>
      <c r="C2033" s="98">
        <v>190</v>
      </c>
    </row>
    <row r="2034" spans="1:3" x14ac:dyDescent="0.2">
      <c r="A2034" s="97" t="s">
        <v>291</v>
      </c>
      <c r="B2034" s="94" t="s">
        <v>279</v>
      </c>
      <c r="C2034" s="98">
        <v>190</v>
      </c>
    </row>
    <row r="2035" spans="1:3" x14ac:dyDescent="0.2">
      <c r="A2035" s="97" t="s">
        <v>291</v>
      </c>
      <c r="B2035" s="94" t="s">
        <v>279</v>
      </c>
      <c r="C2035" s="98">
        <v>190</v>
      </c>
    </row>
    <row r="2036" spans="1:3" x14ac:dyDescent="0.2">
      <c r="A2036" s="97" t="s">
        <v>291</v>
      </c>
      <c r="B2036" s="94" t="s">
        <v>279</v>
      </c>
      <c r="C2036" s="98">
        <v>190</v>
      </c>
    </row>
    <row r="2037" spans="1:3" x14ac:dyDescent="0.2">
      <c r="A2037" s="97" t="s">
        <v>291</v>
      </c>
      <c r="B2037" s="94" t="s">
        <v>279</v>
      </c>
      <c r="C2037" s="98">
        <v>190</v>
      </c>
    </row>
    <row r="2038" spans="1:3" x14ac:dyDescent="0.2">
      <c r="A2038" s="97" t="s">
        <v>291</v>
      </c>
      <c r="B2038" s="94" t="s">
        <v>279</v>
      </c>
      <c r="C2038" s="98">
        <v>190</v>
      </c>
    </row>
    <row r="2039" spans="1:3" x14ac:dyDescent="0.2">
      <c r="A2039" s="97" t="s">
        <v>291</v>
      </c>
      <c r="B2039" s="94" t="s">
        <v>279</v>
      </c>
      <c r="C2039" s="98">
        <v>190</v>
      </c>
    </row>
    <row r="2040" spans="1:3" x14ac:dyDescent="0.2">
      <c r="A2040" s="97" t="s">
        <v>291</v>
      </c>
      <c r="B2040" s="94" t="s">
        <v>279</v>
      </c>
      <c r="C2040" s="98">
        <v>190</v>
      </c>
    </row>
    <row r="2041" spans="1:3" x14ac:dyDescent="0.2">
      <c r="A2041" s="97" t="s">
        <v>291</v>
      </c>
      <c r="B2041" s="94" t="s">
        <v>279</v>
      </c>
      <c r="C2041" s="98">
        <v>190</v>
      </c>
    </row>
    <row r="2042" spans="1:3" x14ac:dyDescent="0.2">
      <c r="A2042" s="97" t="s">
        <v>291</v>
      </c>
      <c r="B2042" s="94" t="s">
        <v>279</v>
      </c>
      <c r="C2042" s="98">
        <v>190</v>
      </c>
    </row>
    <row r="2043" spans="1:3" x14ac:dyDescent="0.2">
      <c r="A2043" s="97" t="s">
        <v>291</v>
      </c>
      <c r="B2043" s="94" t="s">
        <v>279</v>
      </c>
      <c r="C2043" s="98">
        <v>190</v>
      </c>
    </row>
    <row r="2044" spans="1:3" x14ac:dyDescent="0.2">
      <c r="A2044" s="97" t="s">
        <v>291</v>
      </c>
      <c r="B2044" s="94" t="s">
        <v>279</v>
      </c>
      <c r="C2044" s="98">
        <v>190</v>
      </c>
    </row>
    <row r="2045" spans="1:3" x14ac:dyDescent="0.2">
      <c r="A2045" s="97" t="s">
        <v>291</v>
      </c>
      <c r="B2045" s="94" t="s">
        <v>279</v>
      </c>
      <c r="C2045" s="98">
        <v>190</v>
      </c>
    </row>
    <row r="2046" spans="1:3" x14ac:dyDescent="0.2">
      <c r="A2046" s="97" t="s">
        <v>291</v>
      </c>
      <c r="B2046" s="94" t="s">
        <v>279</v>
      </c>
      <c r="C2046" s="98">
        <v>190</v>
      </c>
    </row>
    <row r="2047" spans="1:3" x14ac:dyDescent="0.2">
      <c r="A2047" s="97" t="s">
        <v>291</v>
      </c>
      <c r="B2047" s="94" t="s">
        <v>279</v>
      </c>
      <c r="C2047" s="98">
        <v>190</v>
      </c>
    </row>
    <row r="2048" spans="1:3" x14ac:dyDescent="0.2">
      <c r="A2048" s="97" t="s">
        <v>291</v>
      </c>
      <c r="B2048" s="94" t="s">
        <v>279</v>
      </c>
      <c r="C2048" s="98">
        <v>190</v>
      </c>
    </row>
    <row r="2049" spans="1:3" x14ac:dyDescent="0.2">
      <c r="A2049" s="97" t="s">
        <v>291</v>
      </c>
      <c r="B2049" s="94" t="s">
        <v>279</v>
      </c>
      <c r="C2049" s="98">
        <v>190</v>
      </c>
    </row>
    <row r="2050" spans="1:3" x14ac:dyDescent="0.2">
      <c r="A2050" s="97" t="s">
        <v>291</v>
      </c>
      <c r="B2050" s="94" t="s">
        <v>279</v>
      </c>
      <c r="C2050" s="98">
        <v>190</v>
      </c>
    </row>
    <row r="2051" spans="1:3" x14ac:dyDescent="0.2">
      <c r="A2051" s="97" t="s">
        <v>291</v>
      </c>
      <c r="B2051" s="94" t="s">
        <v>279</v>
      </c>
      <c r="C2051" s="98">
        <v>190</v>
      </c>
    </row>
    <row r="2052" spans="1:3" x14ac:dyDescent="0.2">
      <c r="A2052" s="97" t="s">
        <v>291</v>
      </c>
      <c r="B2052" s="94" t="s">
        <v>279</v>
      </c>
      <c r="C2052" s="98">
        <v>190</v>
      </c>
    </row>
    <row r="2053" spans="1:3" x14ac:dyDescent="0.2">
      <c r="A2053" s="97" t="s">
        <v>291</v>
      </c>
      <c r="B2053" s="94" t="s">
        <v>279</v>
      </c>
      <c r="C2053" s="98">
        <v>190</v>
      </c>
    </row>
    <row r="2054" spans="1:3" x14ac:dyDescent="0.2">
      <c r="A2054" s="97" t="s">
        <v>291</v>
      </c>
      <c r="B2054" s="94" t="s">
        <v>279</v>
      </c>
      <c r="C2054" s="98">
        <v>190</v>
      </c>
    </row>
    <row r="2055" spans="1:3" x14ac:dyDescent="0.2">
      <c r="A2055" s="97" t="s">
        <v>291</v>
      </c>
      <c r="B2055" s="94" t="s">
        <v>279</v>
      </c>
      <c r="C2055" s="98">
        <v>190</v>
      </c>
    </row>
    <row r="2056" spans="1:3" x14ac:dyDescent="0.2">
      <c r="A2056" s="97" t="s">
        <v>291</v>
      </c>
      <c r="B2056" s="94" t="s">
        <v>279</v>
      </c>
      <c r="C2056" s="98">
        <v>190</v>
      </c>
    </row>
    <row r="2057" spans="1:3" x14ac:dyDescent="0.2">
      <c r="A2057" s="97" t="s">
        <v>291</v>
      </c>
      <c r="B2057" s="94" t="s">
        <v>279</v>
      </c>
      <c r="C2057" s="98">
        <v>190</v>
      </c>
    </row>
    <row r="2058" spans="1:3" x14ac:dyDescent="0.2">
      <c r="A2058" s="97" t="s">
        <v>291</v>
      </c>
      <c r="B2058" s="94" t="s">
        <v>279</v>
      </c>
      <c r="C2058" s="98">
        <v>190</v>
      </c>
    </row>
    <row r="2059" spans="1:3" x14ac:dyDescent="0.2">
      <c r="A2059" s="97" t="s">
        <v>291</v>
      </c>
      <c r="B2059" s="94" t="s">
        <v>279</v>
      </c>
      <c r="C2059" s="98">
        <v>190</v>
      </c>
    </row>
    <row r="2060" spans="1:3" x14ac:dyDescent="0.2">
      <c r="A2060" s="97" t="s">
        <v>291</v>
      </c>
      <c r="B2060" s="94" t="s">
        <v>279</v>
      </c>
      <c r="C2060" s="98">
        <v>190</v>
      </c>
    </row>
    <row r="2061" spans="1:3" x14ac:dyDescent="0.2">
      <c r="A2061" s="97" t="s">
        <v>291</v>
      </c>
      <c r="B2061" s="94" t="s">
        <v>279</v>
      </c>
      <c r="C2061" s="98">
        <v>190</v>
      </c>
    </row>
    <row r="2062" spans="1:3" x14ac:dyDescent="0.2">
      <c r="A2062" s="97" t="s">
        <v>291</v>
      </c>
      <c r="B2062" s="94" t="s">
        <v>279</v>
      </c>
      <c r="C2062" s="98">
        <v>190</v>
      </c>
    </row>
    <row r="2063" spans="1:3" x14ac:dyDescent="0.2">
      <c r="A2063" s="97" t="s">
        <v>291</v>
      </c>
      <c r="B2063" s="94" t="s">
        <v>279</v>
      </c>
      <c r="C2063" s="98">
        <v>190</v>
      </c>
    </row>
    <row r="2064" spans="1:3" x14ac:dyDescent="0.2">
      <c r="A2064" s="97" t="s">
        <v>291</v>
      </c>
      <c r="B2064" s="94" t="s">
        <v>279</v>
      </c>
      <c r="C2064" s="98">
        <v>190</v>
      </c>
    </row>
    <row r="2065" spans="1:3" x14ac:dyDescent="0.2">
      <c r="A2065" s="97" t="s">
        <v>291</v>
      </c>
      <c r="B2065" s="94" t="s">
        <v>279</v>
      </c>
      <c r="C2065" s="98">
        <v>190</v>
      </c>
    </row>
    <row r="2066" spans="1:3" x14ac:dyDescent="0.2">
      <c r="A2066" s="97" t="s">
        <v>291</v>
      </c>
      <c r="B2066" s="94" t="s">
        <v>279</v>
      </c>
      <c r="C2066" s="98">
        <v>190</v>
      </c>
    </row>
    <row r="2067" spans="1:3" x14ac:dyDescent="0.2">
      <c r="A2067" s="97" t="s">
        <v>291</v>
      </c>
      <c r="B2067" s="94" t="s">
        <v>279</v>
      </c>
      <c r="C2067" s="98">
        <v>190</v>
      </c>
    </row>
    <row r="2068" spans="1:3" x14ac:dyDescent="0.2">
      <c r="A2068" s="97" t="s">
        <v>291</v>
      </c>
      <c r="B2068" s="94" t="s">
        <v>279</v>
      </c>
      <c r="C2068" s="98">
        <v>190</v>
      </c>
    </row>
    <row r="2069" spans="1:3" x14ac:dyDescent="0.2">
      <c r="A2069" s="97" t="s">
        <v>291</v>
      </c>
      <c r="B2069" s="94" t="s">
        <v>279</v>
      </c>
      <c r="C2069" s="98">
        <v>190</v>
      </c>
    </row>
    <row r="2070" spans="1:3" x14ac:dyDescent="0.2">
      <c r="A2070" s="97" t="s">
        <v>291</v>
      </c>
      <c r="B2070" s="94" t="s">
        <v>279</v>
      </c>
      <c r="C2070" s="98">
        <v>190</v>
      </c>
    </row>
    <row r="2071" spans="1:3" x14ac:dyDescent="0.2">
      <c r="A2071" s="97" t="s">
        <v>291</v>
      </c>
      <c r="B2071" s="94" t="s">
        <v>279</v>
      </c>
      <c r="C2071" s="98">
        <v>190</v>
      </c>
    </row>
    <row r="2072" spans="1:3" x14ac:dyDescent="0.2">
      <c r="A2072" s="97" t="s">
        <v>291</v>
      </c>
      <c r="B2072" s="94" t="s">
        <v>279</v>
      </c>
      <c r="C2072" s="98">
        <v>190</v>
      </c>
    </row>
    <row r="2073" spans="1:3" x14ac:dyDescent="0.2">
      <c r="A2073" s="97" t="s">
        <v>291</v>
      </c>
      <c r="B2073" s="94" t="s">
        <v>279</v>
      </c>
      <c r="C2073" s="98">
        <v>190</v>
      </c>
    </row>
    <row r="2074" spans="1:3" x14ac:dyDescent="0.2">
      <c r="A2074" s="97" t="s">
        <v>291</v>
      </c>
      <c r="B2074" s="94" t="s">
        <v>279</v>
      </c>
      <c r="C2074" s="98">
        <v>190</v>
      </c>
    </row>
    <row r="2075" spans="1:3" x14ac:dyDescent="0.2">
      <c r="A2075" s="97" t="s">
        <v>291</v>
      </c>
      <c r="B2075" s="94" t="s">
        <v>279</v>
      </c>
      <c r="C2075" s="98">
        <v>190</v>
      </c>
    </row>
    <row r="2076" spans="1:3" x14ac:dyDescent="0.2">
      <c r="A2076" s="97" t="s">
        <v>291</v>
      </c>
      <c r="B2076" s="94" t="s">
        <v>279</v>
      </c>
      <c r="C2076" s="98">
        <v>190</v>
      </c>
    </row>
    <row r="2077" spans="1:3" x14ac:dyDescent="0.2">
      <c r="A2077" s="97" t="s">
        <v>291</v>
      </c>
      <c r="B2077" s="94" t="s">
        <v>279</v>
      </c>
      <c r="C2077" s="98">
        <v>190</v>
      </c>
    </row>
    <row r="2078" spans="1:3" x14ac:dyDescent="0.2">
      <c r="A2078" s="97" t="s">
        <v>291</v>
      </c>
      <c r="B2078" s="94" t="s">
        <v>279</v>
      </c>
      <c r="C2078" s="98">
        <v>190</v>
      </c>
    </row>
    <row r="2079" spans="1:3" x14ac:dyDescent="0.2">
      <c r="A2079" s="97" t="s">
        <v>291</v>
      </c>
      <c r="B2079" s="94" t="s">
        <v>279</v>
      </c>
      <c r="C2079" s="98">
        <v>190</v>
      </c>
    </row>
    <row r="2080" spans="1:3" x14ac:dyDescent="0.2">
      <c r="A2080" s="97" t="s">
        <v>291</v>
      </c>
      <c r="B2080" s="94" t="s">
        <v>279</v>
      </c>
      <c r="C2080" s="98">
        <v>190</v>
      </c>
    </row>
    <row r="2081" spans="1:3" x14ac:dyDescent="0.2">
      <c r="A2081" s="97" t="s">
        <v>291</v>
      </c>
      <c r="B2081" s="94" t="s">
        <v>279</v>
      </c>
      <c r="C2081" s="98">
        <v>190</v>
      </c>
    </row>
    <row r="2082" spans="1:3" x14ac:dyDescent="0.2">
      <c r="A2082" s="97" t="s">
        <v>291</v>
      </c>
      <c r="B2082" s="94" t="s">
        <v>279</v>
      </c>
      <c r="C2082" s="98">
        <v>190</v>
      </c>
    </row>
    <row r="2083" spans="1:3" x14ac:dyDescent="0.2">
      <c r="A2083" s="97" t="s">
        <v>291</v>
      </c>
      <c r="B2083" s="94" t="s">
        <v>279</v>
      </c>
      <c r="C2083" s="98">
        <v>190</v>
      </c>
    </row>
    <row r="2084" spans="1:3" x14ac:dyDescent="0.2">
      <c r="A2084" s="97" t="s">
        <v>291</v>
      </c>
      <c r="B2084" s="94" t="s">
        <v>279</v>
      </c>
      <c r="C2084" s="98">
        <v>190</v>
      </c>
    </row>
    <row r="2085" spans="1:3" x14ac:dyDescent="0.2">
      <c r="A2085" s="97" t="s">
        <v>291</v>
      </c>
      <c r="B2085" s="94" t="s">
        <v>279</v>
      </c>
      <c r="C2085" s="98">
        <v>190</v>
      </c>
    </row>
    <row r="2086" spans="1:3" x14ac:dyDescent="0.2">
      <c r="A2086" s="97" t="s">
        <v>291</v>
      </c>
      <c r="B2086" s="94" t="s">
        <v>279</v>
      </c>
      <c r="C2086" s="98">
        <v>190</v>
      </c>
    </row>
    <row r="2087" spans="1:3" x14ac:dyDescent="0.2">
      <c r="A2087" s="97" t="s">
        <v>291</v>
      </c>
      <c r="B2087" s="94" t="s">
        <v>279</v>
      </c>
      <c r="C2087" s="98">
        <v>190</v>
      </c>
    </row>
    <row r="2088" spans="1:3" x14ac:dyDescent="0.2">
      <c r="A2088" s="97" t="s">
        <v>291</v>
      </c>
      <c r="B2088" s="94" t="s">
        <v>279</v>
      </c>
      <c r="C2088" s="98">
        <v>190</v>
      </c>
    </row>
    <row r="2089" spans="1:3" x14ac:dyDescent="0.2">
      <c r="A2089" s="97" t="s">
        <v>291</v>
      </c>
      <c r="B2089" s="94" t="s">
        <v>279</v>
      </c>
      <c r="C2089" s="98">
        <v>190</v>
      </c>
    </row>
    <row r="2090" spans="1:3" x14ac:dyDescent="0.2">
      <c r="A2090" s="97" t="s">
        <v>291</v>
      </c>
      <c r="B2090" s="94" t="s">
        <v>279</v>
      </c>
      <c r="C2090" s="98">
        <v>190</v>
      </c>
    </row>
    <row r="2091" spans="1:3" x14ac:dyDescent="0.2">
      <c r="A2091" s="97" t="s">
        <v>291</v>
      </c>
      <c r="B2091" s="94" t="s">
        <v>279</v>
      </c>
      <c r="C2091" s="98">
        <v>190</v>
      </c>
    </row>
    <row r="2092" spans="1:3" x14ac:dyDescent="0.2">
      <c r="A2092" s="97" t="s">
        <v>291</v>
      </c>
      <c r="B2092" s="94" t="s">
        <v>279</v>
      </c>
      <c r="C2092" s="98">
        <v>190</v>
      </c>
    </row>
    <row r="2093" spans="1:3" x14ac:dyDescent="0.2">
      <c r="A2093" s="97" t="s">
        <v>291</v>
      </c>
      <c r="B2093" s="94" t="s">
        <v>279</v>
      </c>
      <c r="C2093" s="98">
        <v>190</v>
      </c>
    </row>
    <row r="2094" spans="1:3" x14ac:dyDescent="0.2">
      <c r="A2094" s="97" t="s">
        <v>291</v>
      </c>
      <c r="B2094" s="94" t="s">
        <v>279</v>
      </c>
      <c r="C2094" s="98">
        <v>190</v>
      </c>
    </row>
    <row r="2095" spans="1:3" x14ac:dyDescent="0.2">
      <c r="A2095" s="97" t="s">
        <v>291</v>
      </c>
      <c r="B2095" s="94" t="s">
        <v>279</v>
      </c>
      <c r="C2095" s="98">
        <v>190</v>
      </c>
    </row>
    <row r="2096" spans="1:3" x14ac:dyDescent="0.2">
      <c r="A2096" s="97" t="s">
        <v>291</v>
      </c>
      <c r="B2096" s="94" t="s">
        <v>279</v>
      </c>
      <c r="C2096" s="98">
        <v>190</v>
      </c>
    </row>
    <row r="2097" spans="1:3" x14ac:dyDescent="0.2">
      <c r="A2097" s="97" t="s">
        <v>291</v>
      </c>
      <c r="B2097" s="94" t="s">
        <v>279</v>
      </c>
      <c r="C2097" s="98">
        <v>190</v>
      </c>
    </row>
    <row r="2098" spans="1:3" x14ac:dyDescent="0.2">
      <c r="A2098" s="97" t="s">
        <v>291</v>
      </c>
      <c r="B2098" s="94" t="s">
        <v>279</v>
      </c>
      <c r="C2098" s="98">
        <v>190</v>
      </c>
    </row>
    <row r="2099" spans="1:3" x14ac:dyDescent="0.2">
      <c r="A2099" s="97" t="s">
        <v>291</v>
      </c>
      <c r="B2099" s="94" t="s">
        <v>279</v>
      </c>
      <c r="C2099" s="98">
        <v>190</v>
      </c>
    </row>
    <row r="2100" spans="1:3" x14ac:dyDescent="0.2">
      <c r="A2100" s="97" t="s">
        <v>291</v>
      </c>
      <c r="B2100" s="94" t="s">
        <v>279</v>
      </c>
      <c r="C2100" s="98">
        <v>190</v>
      </c>
    </row>
    <row r="2101" spans="1:3" x14ac:dyDescent="0.2">
      <c r="A2101" s="97" t="s">
        <v>291</v>
      </c>
      <c r="B2101" s="94" t="s">
        <v>279</v>
      </c>
      <c r="C2101" s="98">
        <v>190</v>
      </c>
    </row>
    <row r="2102" spans="1:3" x14ac:dyDescent="0.2">
      <c r="A2102" s="97" t="s">
        <v>291</v>
      </c>
      <c r="B2102" s="94" t="s">
        <v>279</v>
      </c>
      <c r="C2102" s="98">
        <v>190</v>
      </c>
    </row>
    <row r="2103" spans="1:3" x14ac:dyDescent="0.2">
      <c r="A2103" s="97" t="s">
        <v>291</v>
      </c>
      <c r="B2103" s="94" t="s">
        <v>279</v>
      </c>
      <c r="C2103" s="98">
        <v>190</v>
      </c>
    </row>
    <row r="2104" spans="1:3" x14ac:dyDescent="0.2">
      <c r="A2104" s="97" t="s">
        <v>291</v>
      </c>
      <c r="B2104" s="94" t="s">
        <v>279</v>
      </c>
      <c r="C2104" s="98">
        <v>190</v>
      </c>
    </row>
    <row r="2105" spans="1:3" x14ac:dyDescent="0.2">
      <c r="A2105" s="97" t="s">
        <v>291</v>
      </c>
      <c r="B2105" s="94" t="s">
        <v>279</v>
      </c>
      <c r="C2105" s="98">
        <v>190</v>
      </c>
    </row>
    <row r="2106" spans="1:3" x14ac:dyDescent="0.2">
      <c r="A2106" s="97" t="s">
        <v>291</v>
      </c>
      <c r="B2106" s="94" t="s">
        <v>279</v>
      </c>
      <c r="C2106" s="98">
        <v>190</v>
      </c>
    </row>
    <row r="2107" spans="1:3" x14ac:dyDescent="0.2">
      <c r="A2107" s="97" t="s">
        <v>291</v>
      </c>
      <c r="B2107" s="94" t="s">
        <v>279</v>
      </c>
      <c r="C2107" s="98">
        <v>190</v>
      </c>
    </row>
    <row r="2108" spans="1:3" x14ac:dyDescent="0.2">
      <c r="A2108" s="97" t="s">
        <v>291</v>
      </c>
      <c r="B2108" s="94" t="s">
        <v>279</v>
      </c>
      <c r="C2108" s="98">
        <v>190</v>
      </c>
    </row>
    <row r="2109" spans="1:3" x14ac:dyDescent="0.2">
      <c r="A2109" s="97" t="s">
        <v>291</v>
      </c>
      <c r="B2109" s="94" t="s">
        <v>279</v>
      </c>
      <c r="C2109" s="98">
        <v>190</v>
      </c>
    </row>
    <row r="2110" spans="1:3" x14ac:dyDescent="0.2">
      <c r="A2110" s="97" t="s">
        <v>291</v>
      </c>
      <c r="B2110" s="94" t="s">
        <v>279</v>
      </c>
      <c r="C2110" s="98">
        <v>190</v>
      </c>
    </row>
    <row r="2111" spans="1:3" x14ac:dyDescent="0.2">
      <c r="A2111" s="97" t="s">
        <v>291</v>
      </c>
      <c r="B2111" s="94" t="s">
        <v>279</v>
      </c>
      <c r="C2111" s="98">
        <v>190</v>
      </c>
    </row>
    <row r="2112" spans="1:3" x14ac:dyDescent="0.2">
      <c r="A2112" s="97" t="s">
        <v>291</v>
      </c>
      <c r="B2112" s="94" t="s">
        <v>279</v>
      </c>
      <c r="C2112" s="98">
        <v>190</v>
      </c>
    </row>
    <row r="2113" spans="1:3" x14ac:dyDescent="0.2">
      <c r="A2113" s="97" t="s">
        <v>291</v>
      </c>
      <c r="B2113" s="94" t="s">
        <v>279</v>
      </c>
      <c r="C2113" s="98">
        <v>190</v>
      </c>
    </row>
    <row r="2114" spans="1:3" x14ac:dyDescent="0.2">
      <c r="A2114" s="97" t="s">
        <v>291</v>
      </c>
      <c r="B2114" s="94" t="s">
        <v>279</v>
      </c>
      <c r="C2114" s="98">
        <v>190</v>
      </c>
    </row>
    <row r="2115" spans="1:3" x14ac:dyDescent="0.2">
      <c r="A2115" s="97" t="s">
        <v>291</v>
      </c>
      <c r="B2115" s="94" t="s">
        <v>279</v>
      </c>
      <c r="C2115" s="98">
        <v>190</v>
      </c>
    </row>
    <row r="2116" spans="1:3" x14ac:dyDescent="0.2">
      <c r="A2116" s="97" t="s">
        <v>291</v>
      </c>
      <c r="B2116" s="94" t="s">
        <v>279</v>
      </c>
      <c r="C2116" s="98">
        <v>190</v>
      </c>
    </row>
    <row r="2117" spans="1:3" x14ac:dyDescent="0.2">
      <c r="A2117" s="97" t="s">
        <v>291</v>
      </c>
      <c r="B2117" s="94" t="s">
        <v>279</v>
      </c>
      <c r="C2117" s="98">
        <v>190</v>
      </c>
    </row>
    <row r="2118" spans="1:3" x14ac:dyDescent="0.2">
      <c r="A2118" s="97" t="s">
        <v>291</v>
      </c>
      <c r="B2118" s="94" t="s">
        <v>279</v>
      </c>
      <c r="C2118" s="98">
        <v>190</v>
      </c>
    </row>
    <row r="2119" spans="1:3" x14ac:dyDescent="0.2">
      <c r="A2119" s="97" t="s">
        <v>291</v>
      </c>
      <c r="B2119" s="94" t="s">
        <v>279</v>
      </c>
      <c r="C2119" s="98">
        <v>190</v>
      </c>
    </row>
    <row r="2120" spans="1:3" x14ac:dyDescent="0.2">
      <c r="A2120" s="97" t="s">
        <v>291</v>
      </c>
      <c r="B2120" s="94" t="s">
        <v>279</v>
      </c>
      <c r="C2120" s="98">
        <v>190</v>
      </c>
    </row>
    <row r="2121" spans="1:3" x14ac:dyDescent="0.2">
      <c r="A2121" s="97" t="s">
        <v>291</v>
      </c>
      <c r="B2121" s="94" t="s">
        <v>279</v>
      </c>
      <c r="C2121" s="98">
        <v>190</v>
      </c>
    </row>
    <row r="2122" spans="1:3" x14ac:dyDescent="0.2">
      <c r="A2122" s="97" t="s">
        <v>291</v>
      </c>
      <c r="B2122" s="94" t="s">
        <v>279</v>
      </c>
      <c r="C2122" s="98">
        <v>190</v>
      </c>
    </row>
    <row r="2123" spans="1:3" x14ac:dyDescent="0.2">
      <c r="A2123" s="97" t="s">
        <v>291</v>
      </c>
      <c r="B2123" s="94" t="s">
        <v>279</v>
      </c>
      <c r="C2123" s="98">
        <v>190</v>
      </c>
    </row>
    <row r="2124" spans="1:3" x14ac:dyDescent="0.2">
      <c r="A2124" s="97" t="s">
        <v>291</v>
      </c>
      <c r="B2124" s="94" t="s">
        <v>279</v>
      </c>
      <c r="C2124" s="98">
        <v>190</v>
      </c>
    </row>
    <row r="2125" spans="1:3" x14ac:dyDescent="0.2">
      <c r="A2125" s="97" t="s">
        <v>291</v>
      </c>
      <c r="B2125" s="94" t="s">
        <v>279</v>
      </c>
      <c r="C2125" s="98">
        <v>190</v>
      </c>
    </row>
    <row r="2126" spans="1:3" x14ac:dyDescent="0.2">
      <c r="A2126" s="97" t="s">
        <v>291</v>
      </c>
      <c r="B2126" s="94" t="s">
        <v>279</v>
      </c>
      <c r="C2126" s="98">
        <v>190</v>
      </c>
    </row>
    <row r="2127" spans="1:3" x14ac:dyDescent="0.2">
      <c r="A2127" s="97" t="s">
        <v>291</v>
      </c>
      <c r="B2127" s="94" t="s">
        <v>279</v>
      </c>
      <c r="C2127" s="98">
        <v>190</v>
      </c>
    </row>
    <row r="2128" spans="1:3" x14ac:dyDescent="0.2">
      <c r="A2128" s="97" t="s">
        <v>291</v>
      </c>
      <c r="B2128" s="94" t="s">
        <v>279</v>
      </c>
      <c r="C2128" s="98">
        <v>190</v>
      </c>
    </row>
    <row r="2129" spans="1:3" x14ac:dyDescent="0.2">
      <c r="A2129" s="97" t="s">
        <v>291</v>
      </c>
      <c r="B2129" s="94" t="s">
        <v>279</v>
      </c>
      <c r="C2129" s="98">
        <v>190</v>
      </c>
    </row>
    <row r="2130" spans="1:3" x14ac:dyDescent="0.2">
      <c r="A2130" s="97" t="s">
        <v>291</v>
      </c>
      <c r="B2130" s="94" t="s">
        <v>279</v>
      </c>
      <c r="C2130" s="98">
        <v>190</v>
      </c>
    </row>
    <row r="2131" spans="1:3" x14ac:dyDescent="0.2">
      <c r="A2131" s="97" t="s">
        <v>291</v>
      </c>
      <c r="B2131" s="94" t="s">
        <v>279</v>
      </c>
      <c r="C2131" s="98">
        <v>190</v>
      </c>
    </row>
    <row r="2132" spans="1:3" x14ac:dyDescent="0.2">
      <c r="A2132" s="97" t="s">
        <v>291</v>
      </c>
      <c r="B2132" s="94" t="s">
        <v>279</v>
      </c>
      <c r="C2132" s="98">
        <v>190</v>
      </c>
    </row>
    <row r="2133" spans="1:3" ht="25.5" x14ac:dyDescent="0.2">
      <c r="A2133" s="87" t="s">
        <v>291</v>
      </c>
      <c r="B2133" s="74" t="s">
        <v>280</v>
      </c>
      <c r="C2133" s="81">
        <v>4062</v>
      </c>
    </row>
    <row r="2134" spans="1:3" ht="25.5" x14ac:dyDescent="0.2">
      <c r="A2134" s="87" t="s">
        <v>291</v>
      </c>
      <c r="B2134" s="74" t="s">
        <v>280</v>
      </c>
      <c r="C2134" s="81">
        <v>4062</v>
      </c>
    </row>
    <row r="2135" spans="1:3" ht="25.5" x14ac:dyDescent="0.2">
      <c r="A2135" s="87" t="s">
        <v>291</v>
      </c>
      <c r="B2135" s="74" t="s">
        <v>280</v>
      </c>
      <c r="C2135" s="81">
        <v>4062</v>
      </c>
    </row>
    <row r="2136" spans="1:3" ht="25.5" x14ac:dyDescent="0.2">
      <c r="A2136" s="87" t="s">
        <v>291</v>
      </c>
      <c r="B2136" s="74" t="s">
        <v>280</v>
      </c>
      <c r="C2136" s="81">
        <v>4062</v>
      </c>
    </row>
    <row r="2137" spans="1:3" ht="25.5" x14ac:dyDescent="0.2">
      <c r="A2137" s="87" t="s">
        <v>291</v>
      </c>
      <c r="B2137" s="74" t="s">
        <v>280</v>
      </c>
      <c r="C2137" s="81">
        <v>4062</v>
      </c>
    </row>
    <row r="2138" spans="1:3" ht="25.5" x14ac:dyDescent="0.2">
      <c r="A2138" s="87" t="s">
        <v>291</v>
      </c>
      <c r="B2138" s="74" t="s">
        <v>280</v>
      </c>
      <c r="C2138" s="81">
        <v>4062</v>
      </c>
    </row>
    <row r="2139" spans="1:3" ht="25.5" x14ac:dyDescent="0.2">
      <c r="A2139" s="87" t="s">
        <v>291</v>
      </c>
      <c r="B2139" s="74" t="s">
        <v>280</v>
      </c>
      <c r="C2139" s="81">
        <v>4062</v>
      </c>
    </row>
    <row r="2140" spans="1:3" ht="25.5" x14ac:dyDescent="0.2">
      <c r="A2140" s="87" t="s">
        <v>291</v>
      </c>
      <c r="B2140" s="74" t="s">
        <v>280</v>
      </c>
      <c r="C2140" s="81">
        <v>4062</v>
      </c>
    </row>
    <row r="2141" spans="1:3" ht="25.5" x14ac:dyDescent="0.2">
      <c r="A2141" s="87" t="s">
        <v>291</v>
      </c>
      <c r="B2141" s="74" t="s">
        <v>280</v>
      </c>
      <c r="C2141" s="81">
        <v>4062</v>
      </c>
    </row>
    <row r="2142" spans="1:3" ht="27.75" customHeight="1" x14ac:dyDescent="0.2">
      <c r="A2142" s="87" t="s">
        <v>291</v>
      </c>
      <c r="B2142" s="74" t="s">
        <v>280</v>
      </c>
      <c r="C2142" s="81">
        <v>4062</v>
      </c>
    </row>
    <row r="2143" spans="1:3" x14ac:dyDescent="0.2">
      <c r="A2143" s="90" t="s">
        <v>291</v>
      </c>
      <c r="B2143" s="74" t="s">
        <v>281</v>
      </c>
      <c r="C2143" s="81">
        <v>16950</v>
      </c>
    </row>
    <row r="2144" spans="1:3" x14ac:dyDescent="0.2">
      <c r="A2144" s="87" t="s">
        <v>291</v>
      </c>
      <c r="B2144" s="74" t="s">
        <v>282</v>
      </c>
      <c r="C2144" s="81">
        <v>2500</v>
      </c>
    </row>
    <row r="2145" spans="1:3" x14ac:dyDescent="0.2">
      <c r="A2145" s="87" t="s">
        <v>291</v>
      </c>
      <c r="B2145" s="74" t="s">
        <v>282</v>
      </c>
      <c r="C2145" s="81">
        <v>2500</v>
      </c>
    </row>
    <row r="2146" spans="1:3" x14ac:dyDescent="0.2">
      <c r="A2146" s="87" t="s">
        <v>291</v>
      </c>
      <c r="B2146" s="74" t="s">
        <v>283</v>
      </c>
      <c r="C2146" s="81">
        <v>3197</v>
      </c>
    </row>
    <row r="2147" spans="1:3" ht="25.5" x14ac:dyDescent="0.2">
      <c r="A2147" s="87" t="s">
        <v>291</v>
      </c>
      <c r="B2147" s="74" t="s">
        <v>284</v>
      </c>
      <c r="C2147" s="81">
        <v>7995</v>
      </c>
    </row>
    <row r="2148" spans="1:3" x14ac:dyDescent="0.2">
      <c r="A2148" s="87" t="s">
        <v>291</v>
      </c>
      <c r="B2148" s="74" t="s">
        <v>285</v>
      </c>
      <c r="C2148" s="81">
        <v>2863.38</v>
      </c>
    </row>
    <row r="2149" spans="1:3" ht="25.5" x14ac:dyDescent="0.2">
      <c r="A2149" s="90" t="s">
        <v>291</v>
      </c>
      <c r="B2149" s="74" t="s">
        <v>286</v>
      </c>
      <c r="C2149" s="81">
        <v>13050</v>
      </c>
    </row>
    <row r="2150" spans="1:3" ht="25.5" x14ac:dyDescent="0.2">
      <c r="A2150" s="90" t="s">
        <v>291</v>
      </c>
      <c r="B2150" s="74" t="s">
        <v>287</v>
      </c>
      <c r="C2150" s="81">
        <v>7550</v>
      </c>
    </row>
    <row r="2151" spans="1:3" x14ac:dyDescent="0.2">
      <c r="A2151" s="90" t="s">
        <v>291</v>
      </c>
      <c r="B2151" s="74" t="s">
        <v>288</v>
      </c>
      <c r="C2151" s="81">
        <v>15725</v>
      </c>
    </row>
    <row r="2152" spans="1:3" x14ac:dyDescent="0.2">
      <c r="A2152" s="90" t="s">
        <v>291</v>
      </c>
      <c r="B2152" s="74" t="s">
        <v>289</v>
      </c>
      <c r="C2152" s="81">
        <v>7352</v>
      </c>
    </row>
    <row r="2153" spans="1:3" ht="9.75" customHeight="1" thickBot="1" x14ac:dyDescent="0.25">
      <c r="A2153" s="63"/>
      <c r="B2153" s="64"/>
      <c r="C2153" s="82"/>
    </row>
    <row r="2154" spans="1:3" ht="9.75" customHeight="1" x14ac:dyDescent="0.2">
      <c r="A2154" s="95"/>
      <c r="B2154" s="95"/>
      <c r="C2154" s="96"/>
    </row>
    <row r="2155" spans="1:3" ht="9.75" customHeight="1" x14ac:dyDescent="0.2">
      <c r="A2155" s="95"/>
      <c r="B2155" s="95"/>
      <c r="C2155" s="96"/>
    </row>
    <row r="2159" spans="1:3" x14ac:dyDescent="0.2">
      <c r="B2159" s="54"/>
      <c r="C2159" s="84"/>
    </row>
    <row r="2160" spans="1:3" x14ac:dyDescent="0.2">
      <c r="B2160" s="54"/>
      <c r="C2160" s="84"/>
    </row>
    <row r="2161" spans="2:3" x14ac:dyDescent="0.2">
      <c r="B2161" s="54"/>
      <c r="C2161" s="84"/>
    </row>
    <row r="2162" spans="2:3" x14ac:dyDescent="0.2">
      <c r="B2162" s="54"/>
      <c r="C2162" s="84"/>
    </row>
    <row r="2163" spans="2:3" x14ac:dyDescent="0.2">
      <c r="B2163" s="54"/>
      <c r="C2163" s="84"/>
    </row>
    <row r="2164" spans="2:3" x14ac:dyDescent="0.2">
      <c r="B2164" s="54"/>
      <c r="C2164" s="84"/>
    </row>
    <row r="2165" spans="2:3" x14ac:dyDescent="0.2">
      <c r="B2165" s="54"/>
      <c r="C2165" s="84"/>
    </row>
    <row r="2166" spans="2:3" x14ac:dyDescent="0.2">
      <c r="B2166" s="54"/>
      <c r="C2166" s="84"/>
    </row>
    <row r="2167" spans="2:3" x14ac:dyDescent="0.2">
      <c r="B2167" s="54"/>
      <c r="C2167" s="84"/>
    </row>
    <row r="2168" spans="2:3" x14ac:dyDescent="0.2">
      <c r="B2168" s="54"/>
      <c r="C2168" s="84"/>
    </row>
    <row r="2169" spans="2:3" x14ac:dyDescent="0.2">
      <c r="B2169" s="54"/>
      <c r="C2169" s="84"/>
    </row>
    <row r="2170" spans="2:3" x14ac:dyDescent="0.2">
      <c r="B2170" s="54"/>
      <c r="C2170" s="84"/>
    </row>
    <row r="2171" spans="2:3" x14ac:dyDescent="0.2">
      <c r="B2171" s="54"/>
      <c r="C2171" s="84"/>
    </row>
    <row r="2172" spans="2:3" x14ac:dyDescent="0.2">
      <c r="B2172" s="54"/>
      <c r="C2172" s="84"/>
    </row>
    <row r="2173" spans="2:3" x14ac:dyDescent="0.2">
      <c r="B2173" s="54"/>
      <c r="C2173" s="84"/>
    </row>
    <row r="2174" spans="2:3" x14ac:dyDescent="0.2">
      <c r="B2174" s="54"/>
      <c r="C2174" s="84"/>
    </row>
    <row r="2175" spans="2:3" x14ac:dyDescent="0.2">
      <c r="B2175" s="54"/>
      <c r="C2175" s="84"/>
    </row>
    <row r="2176" spans="2:3" x14ac:dyDescent="0.2">
      <c r="B2176" s="54"/>
      <c r="C2176" s="84"/>
    </row>
    <row r="2177" spans="1:3" x14ac:dyDescent="0.2">
      <c r="B2177" s="54"/>
      <c r="C2177" s="84"/>
    </row>
    <row r="2178" spans="1:3" x14ac:dyDescent="0.2">
      <c r="B2178" s="54"/>
      <c r="C2178" s="84"/>
    </row>
    <row r="2179" spans="1:3" x14ac:dyDescent="0.2">
      <c r="B2179" s="54"/>
      <c r="C2179" s="84"/>
    </row>
    <row r="2180" spans="1:3" x14ac:dyDescent="0.2">
      <c r="B2180" s="54"/>
      <c r="C2180" s="84"/>
    </row>
    <row r="2181" spans="1:3" x14ac:dyDescent="0.2">
      <c r="B2181" s="54"/>
      <c r="C2181" s="84"/>
    </row>
    <row r="2182" spans="1:3" x14ac:dyDescent="0.2">
      <c r="B2182" s="54"/>
      <c r="C2182" s="84"/>
    </row>
    <row r="2183" spans="1:3" x14ac:dyDescent="0.2">
      <c r="B2183" s="54"/>
      <c r="C2183" s="84"/>
    </row>
    <row r="2184" spans="1:3" x14ac:dyDescent="0.2">
      <c r="B2184" s="54"/>
      <c r="C2184" s="84"/>
    </row>
    <row r="2185" spans="1:3" x14ac:dyDescent="0.2">
      <c r="B2185" s="54"/>
      <c r="C2185" s="84"/>
    </row>
    <row r="2186" spans="1:3" x14ac:dyDescent="0.2">
      <c r="A2186" s="66"/>
    </row>
    <row r="2187" spans="1:3" x14ac:dyDescent="0.2">
      <c r="A2187" s="66"/>
      <c r="B2187" s="67"/>
    </row>
    <row r="2188" spans="1:3" ht="12.75" customHeight="1" x14ac:dyDescent="0.2">
      <c r="A2188" s="66"/>
      <c r="B2188" s="71"/>
      <c r="C2188" s="85"/>
    </row>
    <row r="2189" spans="1:3" ht="12.75" customHeight="1" x14ac:dyDescent="0.2">
      <c r="B2189" s="71"/>
      <c r="C2189" s="85"/>
    </row>
    <row r="2200" spans="3:3" s="68" customFormat="1" ht="11.25" x14ac:dyDescent="0.2">
      <c r="C2200" s="86"/>
    </row>
  </sheetData>
  <printOptions horizontalCentered="1"/>
  <pageMargins left="0.35433070866141736" right="3.937007874015748E-2" top="0.51181102362204722" bottom="0.62992125984251968" header="0" footer="0"/>
  <pageSetup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6"/>
  <sheetViews>
    <sheetView showGridLines="0" zoomScaleNormal="100" workbookViewId="0">
      <pane ySplit="6" topLeftCell="A16" activePane="bottomLeft" state="frozen"/>
      <selection pane="bottomLeft" activeCell="B29" sqref="B29"/>
    </sheetView>
  </sheetViews>
  <sheetFormatPr baseColWidth="10" defaultRowHeight="12.75" x14ac:dyDescent="0.2"/>
  <cols>
    <col min="1" max="1" width="31.140625" style="50" customWidth="1"/>
    <col min="2" max="2" width="52.140625" style="50" customWidth="1"/>
    <col min="3" max="3" width="34.85546875" style="50" customWidth="1"/>
    <col min="4" max="16384" width="11.42578125" style="50"/>
  </cols>
  <sheetData>
    <row r="1" spans="1:8" ht="15.75" customHeight="1" x14ac:dyDescent="0.25">
      <c r="A1" s="55"/>
      <c r="B1" s="55"/>
      <c r="C1" s="72" t="s">
        <v>150</v>
      </c>
      <c r="D1" s="53"/>
      <c r="E1" s="53"/>
      <c r="F1" s="53"/>
      <c r="G1" s="53"/>
      <c r="H1" s="53"/>
    </row>
    <row r="2" spans="1:8" ht="23.25" customHeight="1" x14ac:dyDescent="0.25">
      <c r="A2" s="51" t="s">
        <v>312</v>
      </c>
      <c r="B2" s="52"/>
      <c r="C2" s="52"/>
      <c r="D2" s="53"/>
      <c r="E2" s="53"/>
      <c r="F2" s="53"/>
      <c r="G2" s="53"/>
      <c r="H2" s="53"/>
    </row>
    <row r="3" spans="1:8" ht="15" x14ac:dyDescent="0.25">
      <c r="A3" s="51" t="s">
        <v>152</v>
      </c>
      <c r="B3" s="51"/>
      <c r="C3" s="51"/>
    </row>
    <row r="4" spans="1:8" ht="12.75" customHeight="1" x14ac:dyDescent="0.25">
      <c r="A4" s="56"/>
      <c r="B4" s="56"/>
      <c r="C4" s="56"/>
    </row>
    <row r="5" spans="1:8" ht="13.5" thickBot="1" x14ac:dyDescent="0.25">
      <c r="A5" s="57" t="s">
        <v>20</v>
      </c>
      <c r="B5" s="57" t="s">
        <v>21</v>
      </c>
      <c r="C5" s="57" t="s">
        <v>16</v>
      </c>
    </row>
    <row r="6" spans="1:8" ht="31.5" customHeight="1" thickBot="1" x14ac:dyDescent="0.25">
      <c r="A6" s="69" t="s">
        <v>148</v>
      </c>
      <c r="B6" s="70" t="s">
        <v>132</v>
      </c>
      <c r="C6" s="70" t="s">
        <v>149</v>
      </c>
    </row>
    <row r="7" spans="1:8" ht="29.25" customHeight="1" x14ac:dyDescent="0.2">
      <c r="A7" s="88" t="s">
        <v>313</v>
      </c>
      <c r="B7" s="88" t="s">
        <v>297</v>
      </c>
      <c r="C7" s="81">
        <v>154626.96</v>
      </c>
    </row>
    <row r="8" spans="1:8" ht="18" customHeight="1" x14ac:dyDescent="0.2">
      <c r="A8" s="88" t="s">
        <v>313</v>
      </c>
      <c r="B8" s="74" t="s">
        <v>296</v>
      </c>
      <c r="C8" s="81">
        <v>4001984.55</v>
      </c>
    </row>
    <row r="9" spans="1:8" ht="17.25" customHeight="1" x14ac:dyDescent="0.2">
      <c r="A9" s="88" t="s">
        <v>313</v>
      </c>
      <c r="B9" s="88" t="s">
        <v>295</v>
      </c>
      <c r="C9" s="81">
        <v>361000</v>
      </c>
    </row>
    <row r="10" spans="1:8" ht="34.5" customHeight="1" x14ac:dyDescent="0.2">
      <c r="A10" s="88" t="s">
        <v>313</v>
      </c>
      <c r="B10" s="88" t="s">
        <v>298</v>
      </c>
      <c r="C10" s="81">
        <v>165900</v>
      </c>
    </row>
    <row r="11" spans="1:8" ht="21.75" customHeight="1" x14ac:dyDescent="0.2">
      <c r="A11" s="88" t="s">
        <v>313</v>
      </c>
      <c r="B11" s="88" t="s">
        <v>299</v>
      </c>
      <c r="C11" s="81">
        <v>1167800</v>
      </c>
    </row>
    <row r="12" spans="1:8" ht="27" customHeight="1" x14ac:dyDescent="0.2">
      <c r="A12" s="88" t="s">
        <v>313</v>
      </c>
      <c r="B12" s="88" t="s">
        <v>292</v>
      </c>
      <c r="C12" s="81">
        <v>215488</v>
      </c>
    </row>
    <row r="13" spans="1:8" ht="17.25" customHeight="1" x14ac:dyDescent="0.2">
      <c r="A13" s="88" t="s">
        <v>313</v>
      </c>
      <c r="B13" s="88" t="s">
        <v>300</v>
      </c>
      <c r="C13" s="81">
        <v>256800</v>
      </c>
    </row>
    <row r="14" spans="1:8" ht="17.25" customHeight="1" x14ac:dyDescent="0.2">
      <c r="A14" s="88" t="s">
        <v>313</v>
      </c>
      <c r="B14" s="88" t="s">
        <v>301</v>
      </c>
      <c r="C14" s="81">
        <v>486986.89</v>
      </c>
    </row>
    <row r="15" spans="1:8" ht="28.5" customHeight="1" x14ac:dyDescent="0.2">
      <c r="A15" s="88" t="s">
        <v>313</v>
      </c>
      <c r="B15" s="88" t="s">
        <v>293</v>
      </c>
      <c r="C15" s="81">
        <v>70000</v>
      </c>
    </row>
    <row r="16" spans="1:8" ht="27" customHeight="1" x14ac:dyDescent="0.2">
      <c r="A16" s="88" t="s">
        <v>313</v>
      </c>
      <c r="B16" s="88" t="s">
        <v>294</v>
      </c>
      <c r="C16" s="81">
        <v>213000</v>
      </c>
    </row>
    <row r="17" spans="1:3" ht="17.25" customHeight="1" x14ac:dyDescent="0.2">
      <c r="A17" s="88" t="s">
        <v>313</v>
      </c>
      <c r="B17" s="88" t="s">
        <v>302</v>
      </c>
      <c r="C17" s="81">
        <v>260000</v>
      </c>
    </row>
    <row r="18" spans="1:3" ht="13.5" thickBot="1" x14ac:dyDescent="0.25">
      <c r="A18" s="63"/>
      <c r="B18" s="64"/>
      <c r="C18" s="64"/>
    </row>
    <row r="19" spans="1:3" ht="17.25" customHeight="1" x14ac:dyDescent="0.2">
      <c r="A19" s="65"/>
      <c r="B19" s="65"/>
      <c r="C19" s="65"/>
    </row>
    <row r="22" spans="1:3" x14ac:dyDescent="0.2">
      <c r="B22" s="54"/>
      <c r="C22" s="54"/>
    </row>
    <row r="23" spans="1:3" x14ac:dyDescent="0.2">
      <c r="B23" s="54"/>
      <c r="C23" s="54"/>
    </row>
    <row r="24" spans="1:3" x14ac:dyDescent="0.2">
      <c r="B24" s="54"/>
      <c r="C24" s="54"/>
    </row>
    <row r="25" spans="1:3" x14ac:dyDescent="0.2">
      <c r="B25" s="54"/>
      <c r="C25" s="54"/>
    </row>
    <row r="26" spans="1:3" x14ac:dyDescent="0.2">
      <c r="B26" s="54"/>
      <c r="C26" s="54"/>
    </row>
    <row r="27" spans="1:3" x14ac:dyDescent="0.2">
      <c r="B27" s="54"/>
      <c r="C27" s="54"/>
    </row>
    <row r="28" spans="1:3" x14ac:dyDescent="0.2">
      <c r="B28" s="54"/>
      <c r="C28" s="54"/>
    </row>
    <row r="29" spans="1:3" x14ac:dyDescent="0.2">
      <c r="B29" s="54"/>
      <c r="C29" s="54"/>
    </row>
    <row r="30" spans="1:3" x14ac:dyDescent="0.2">
      <c r="A30" s="66"/>
    </row>
    <row r="31" spans="1:3" x14ac:dyDescent="0.2">
      <c r="A31" s="66"/>
    </row>
    <row r="32" spans="1:3" x14ac:dyDescent="0.2">
      <c r="A32" s="66"/>
    </row>
    <row r="33" spans="1:3" x14ac:dyDescent="0.2">
      <c r="A33" s="66"/>
      <c r="B33" s="67"/>
    </row>
    <row r="34" spans="1:3" ht="12.75" customHeight="1" x14ac:dyDescent="0.2">
      <c r="A34" s="66"/>
      <c r="B34" s="71"/>
      <c r="C34" s="71"/>
    </row>
    <row r="35" spans="1:3" ht="12.75" customHeight="1" x14ac:dyDescent="0.2">
      <c r="B35" s="71"/>
      <c r="C35" s="71"/>
    </row>
    <row r="46" spans="1:3" s="68" customFormat="1" ht="11.25" x14ac:dyDescent="0.2"/>
  </sheetData>
  <printOptions horizontalCentered="1"/>
  <pageMargins left="0.35433070866141736" right="3.937007874015748E-2" top="0.51181102362204722" bottom="0.62992125984251968" header="0" footer="0"/>
  <pageSetup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0"/>
  <sheetViews>
    <sheetView showGridLines="0" zoomScaleNormal="100" workbookViewId="0">
      <pane ySplit="6" topLeftCell="A9" activePane="bottomLeft" state="frozen"/>
      <selection pane="bottomLeft" activeCell="B28" sqref="B28"/>
    </sheetView>
  </sheetViews>
  <sheetFormatPr baseColWidth="10" defaultRowHeight="12.75" x14ac:dyDescent="0.2"/>
  <cols>
    <col min="1" max="1" width="31.140625" style="50" customWidth="1"/>
    <col min="2" max="2" width="52.140625" style="50" customWidth="1"/>
    <col min="3" max="3" width="34.85546875" style="50" customWidth="1"/>
    <col min="4" max="16384" width="11.42578125" style="50"/>
  </cols>
  <sheetData>
    <row r="1" spans="1:8" ht="15.75" customHeight="1" x14ac:dyDescent="0.25">
      <c r="A1" s="55"/>
      <c r="B1" s="55"/>
      <c r="C1" s="72" t="s">
        <v>150</v>
      </c>
      <c r="D1" s="53"/>
      <c r="E1" s="53"/>
      <c r="F1" s="53"/>
      <c r="G1" s="53"/>
      <c r="H1" s="53"/>
    </row>
    <row r="2" spans="1:8" ht="23.25" customHeight="1" x14ac:dyDescent="0.25">
      <c r="A2" s="51" t="s">
        <v>312</v>
      </c>
      <c r="B2" s="52"/>
      <c r="C2" s="52"/>
      <c r="D2" s="53"/>
      <c r="E2" s="53"/>
      <c r="F2" s="53"/>
      <c r="G2" s="53"/>
      <c r="H2" s="53"/>
    </row>
    <row r="3" spans="1:8" ht="15" x14ac:dyDescent="0.25">
      <c r="A3" s="51" t="s">
        <v>152</v>
      </c>
      <c r="B3" s="51"/>
      <c r="C3" s="51"/>
    </row>
    <row r="4" spans="1:8" ht="12.75" customHeight="1" x14ac:dyDescent="0.25">
      <c r="A4" s="56"/>
      <c r="B4" s="56"/>
      <c r="C4" s="56"/>
    </row>
    <row r="5" spans="1:8" ht="13.5" thickBot="1" x14ac:dyDescent="0.25">
      <c r="A5" s="57" t="s">
        <v>20</v>
      </c>
      <c r="B5" s="57" t="s">
        <v>21</v>
      </c>
      <c r="C5" s="57" t="s">
        <v>16</v>
      </c>
    </row>
    <row r="6" spans="1:8" ht="31.5" customHeight="1" thickBot="1" x14ac:dyDescent="0.25">
      <c r="A6" s="69" t="s">
        <v>148</v>
      </c>
      <c r="B6" s="70" t="s">
        <v>132</v>
      </c>
      <c r="C6" s="70" t="s">
        <v>149</v>
      </c>
    </row>
    <row r="7" spans="1:8" ht="29.25" customHeight="1" x14ac:dyDescent="0.2">
      <c r="A7" s="89" t="s">
        <v>309</v>
      </c>
      <c r="B7" s="88" t="s">
        <v>303</v>
      </c>
      <c r="C7" s="81">
        <v>5590.25</v>
      </c>
    </row>
    <row r="8" spans="1:8" ht="29.25" customHeight="1" x14ac:dyDescent="0.2">
      <c r="A8" s="89" t="s">
        <v>309</v>
      </c>
      <c r="B8" s="88" t="s">
        <v>303</v>
      </c>
      <c r="C8" s="81">
        <v>5590.25</v>
      </c>
    </row>
    <row r="9" spans="1:8" ht="29.25" customHeight="1" x14ac:dyDescent="0.2">
      <c r="A9" s="89" t="s">
        <v>309</v>
      </c>
      <c r="B9" s="88" t="s">
        <v>304</v>
      </c>
      <c r="C9" s="81">
        <f>14782.6*1.15</f>
        <v>16999.989999999998</v>
      </c>
    </row>
    <row r="10" spans="1:8" ht="29.25" customHeight="1" x14ac:dyDescent="0.2">
      <c r="A10" s="89" t="s">
        <v>309</v>
      </c>
      <c r="B10" s="88" t="s">
        <v>305</v>
      </c>
      <c r="C10" s="81">
        <v>58514</v>
      </c>
    </row>
    <row r="11" spans="1:8" ht="22.5" customHeight="1" x14ac:dyDescent="0.2">
      <c r="A11" s="89" t="s">
        <v>309</v>
      </c>
      <c r="B11" s="88" t="s">
        <v>306</v>
      </c>
      <c r="C11" s="81">
        <v>8580</v>
      </c>
    </row>
    <row r="12" spans="1:8" ht="24" customHeight="1" x14ac:dyDescent="0.2">
      <c r="A12" s="89" t="s">
        <v>309</v>
      </c>
      <c r="B12" s="88" t="s">
        <v>306</v>
      </c>
      <c r="C12" s="81">
        <v>8580</v>
      </c>
    </row>
    <row r="13" spans="1:8" ht="47.25" customHeight="1" x14ac:dyDescent="0.2">
      <c r="A13" s="89" t="s">
        <v>309</v>
      </c>
      <c r="B13" s="88" t="s">
        <v>307</v>
      </c>
      <c r="C13" s="81">
        <v>575728.89</v>
      </c>
    </row>
    <row r="14" spans="1:8" ht="29.25" customHeight="1" x14ac:dyDescent="0.2">
      <c r="A14" s="89" t="s">
        <v>309</v>
      </c>
      <c r="B14" s="88" t="s">
        <v>308</v>
      </c>
      <c r="C14" s="81">
        <v>11042</v>
      </c>
    </row>
    <row r="15" spans="1:8" ht="13.5" thickBot="1" x14ac:dyDescent="0.25">
      <c r="A15" s="63"/>
      <c r="B15" s="64"/>
      <c r="C15" s="64"/>
    </row>
    <row r="16" spans="1:8" ht="17.25" customHeight="1" x14ac:dyDescent="0.2">
      <c r="A16" s="65"/>
      <c r="B16" s="65"/>
      <c r="C16" s="65"/>
    </row>
    <row r="19" spans="1:3" x14ac:dyDescent="0.2">
      <c r="B19" s="54"/>
      <c r="C19" s="54"/>
    </row>
    <row r="20" spans="1:3" x14ac:dyDescent="0.2">
      <c r="B20" s="54"/>
      <c r="C20" s="54"/>
    </row>
    <row r="21" spans="1:3" x14ac:dyDescent="0.2">
      <c r="B21" s="54"/>
      <c r="C21" s="54"/>
    </row>
    <row r="22" spans="1:3" x14ac:dyDescent="0.2">
      <c r="A22" s="66"/>
    </row>
    <row r="23" spans="1:3" x14ac:dyDescent="0.2">
      <c r="A23" s="66"/>
    </row>
    <row r="24" spans="1:3" x14ac:dyDescent="0.2">
      <c r="A24" s="66"/>
    </row>
    <row r="25" spans="1:3" x14ac:dyDescent="0.2">
      <c r="A25" s="66"/>
    </row>
    <row r="26" spans="1:3" x14ac:dyDescent="0.2">
      <c r="A26" s="66"/>
    </row>
    <row r="27" spans="1:3" x14ac:dyDescent="0.2">
      <c r="A27" s="66"/>
    </row>
    <row r="28" spans="1:3" x14ac:dyDescent="0.2">
      <c r="A28" s="66"/>
    </row>
    <row r="29" spans="1:3" x14ac:dyDescent="0.2">
      <c r="A29" s="66"/>
    </row>
    <row r="30" spans="1:3" x14ac:dyDescent="0.2">
      <c r="A30" s="66"/>
    </row>
    <row r="31" spans="1:3" x14ac:dyDescent="0.2">
      <c r="A31" s="66"/>
    </row>
    <row r="32" spans="1:3" x14ac:dyDescent="0.2">
      <c r="A32" s="66"/>
    </row>
    <row r="33" spans="1:3" x14ac:dyDescent="0.2">
      <c r="A33" s="66"/>
    </row>
    <row r="34" spans="1:3" x14ac:dyDescent="0.2">
      <c r="A34" s="66"/>
    </row>
    <row r="35" spans="1:3" x14ac:dyDescent="0.2">
      <c r="A35" s="66"/>
    </row>
    <row r="36" spans="1:3" x14ac:dyDescent="0.2">
      <c r="A36" s="66"/>
    </row>
    <row r="37" spans="1:3" x14ac:dyDescent="0.2">
      <c r="A37" s="66"/>
    </row>
    <row r="38" spans="1:3" x14ac:dyDescent="0.2">
      <c r="A38" s="66"/>
    </row>
    <row r="39" spans="1:3" x14ac:dyDescent="0.2">
      <c r="A39" s="66"/>
    </row>
    <row r="40" spans="1:3" x14ac:dyDescent="0.2">
      <c r="A40" s="66"/>
    </row>
    <row r="41" spans="1:3" x14ac:dyDescent="0.2">
      <c r="A41" s="66"/>
    </row>
    <row r="42" spans="1:3" x14ac:dyDescent="0.2">
      <c r="A42" s="66"/>
    </row>
    <row r="43" spans="1:3" x14ac:dyDescent="0.2">
      <c r="A43" s="66"/>
    </row>
    <row r="44" spans="1:3" x14ac:dyDescent="0.2">
      <c r="A44" s="66"/>
    </row>
    <row r="45" spans="1:3" x14ac:dyDescent="0.2">
      <c r="A45" s="66"/>
    </row>
    <row r="46" spans="1:3" x14ac:dyDescent="0.2">
      <c r="A46" s="66"/>
    </row>
    <row r="47" spans="1:3" x14ac:dyDescent="0.2">
      <c r="A47" s="66"/>
      <c r="B47" s="67"/>
    </row>
    <row r="48" spans="1:3" ht="12.75" customHeight="1" x14ac:dyDescent="0.2">
      <c r="A48" s="66"/>
      <c r="B48" s="71"/>
      <c r="C48" s="71"/>
    </row>
    <row r="49" spans="2:3" ht="12.75" customHeight="1" x14ac:dyDescent="0.2">
      <c r="B49" s="71"/>
      <c r="C49" s="71"/>
    </row>
    <row r="60" spans="2:3" s="68" customFormat="1" ht="11.25" x14ac:dyDescent="0.2"/>
  </sheetData>
  <printOptions horizontalCentered="1"/>
  <pageMargins left="0.35433070866141736" right="3.937007874015748E-2" top="0.51181102362204722" bottom="0.62992125984251968" header="0" footer="0"/>
  <pageSetup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42"/>
  <sheetViews>
    <sheetView showGridLines="0" zoomScaleNormal="100" workbookViewId="0">
      <pane ySplit="6" topLeftCell="A706" activePane="bottomLeft" state="frozen"/>
      <selection pane="bottomLeft" activeCell="B722" sqref="B722"/>
    </sheetView>
  </sheetViews>
  <sheetFormatPr baseColWidth="10" defaultRowHeight="12.75" x14ac:dyDescent="0.2"/>
  <cols>
    <col min="1" max="1" width="31.140625" style="50" customWidth="1"/>
    <col min="2" max="2" width="54.140625" style="50" customWidth="1"/>
    <col min="3" max="3" width="30.42578125" style="50" customWidth="1"/>
    <col min="4" max="16384" width="11.42578125" style="50"/>
  </cols>
  <sheetData>
    <row r="1" spans="1:8" ht="15.75" customHeight="1" x14ac:dyDescent="0.25">
      <c r="A1" s="55"/>
      <c r="B1" s="55"/>
      <c r="C1" s="72" t="s">
        <v>150</v>
      </c>
      <c r="D1" s="53"/>
      <c r="E1" s="53"/>
      <c r="F1" s="53"/>
      <c r="G1" s="53"/>
      <c r="H1" s="53"/>
    </row>
    <row r="2" spans="1:8" ht="23.25" customHeight="1" x14ac:dyDescent="0.25">
      <c r="A2" s="51" t="s">
        <v>314</v>
      </c>
      <c r="B2" s="52"/>
      <c r="C2" s="52"/>
      <c r="D2" s="53"/>
      <c r="E2" s="53"/>
      <c r="F2" s="53"/>
      <c r="G2" s="53"/>
      <c r="H2" s="53"/>
    </row>
    <row r="3" spans="1:8" ht="15" x14ac:dyDescent="0.25">
      <c r="A3" s="51" t="s">
        <v>152</v>
      </c>
      <c r="B3" s="51"/>
      <c r="C3" s="51"/>
    </row>
    <row r="4" spans="1:8" ht="12.75" customHeight="1" x14ac:dyDescent="0.25">
      <c r="A4" s="56"/>
      <c r="B4" s="56"/>
      <c r="C4" s="56"/>
    </row>
    <row r="5" spans="1:8" ht="13.5" thickBot="1" x14ac:dyDescent="0.25">
      <c r="A5" s="57" t="s">
        <v>20</v>
      </c>
      <c r="B5" s="57" t="s">
        <v>21</v>
      </c>
      <c r="C5" s="57" t="s">
        <v>16</v>
      </c>
    </row>
    <row r="6" spans="1:8" ht="31.5" customHeight="1" thickBot="1" x14ac:dyDescent="0.25">
      <c r="A6" s="69" t="s">
        <v>148</v>
      </c>
      <c r="B6" s="70" t="s">
        <v>132</v>
      </c>
      <c r="C6" s="70" t="s">
        <v>149</v>
      </c>
    </row>
    <row r="7" spans="1:8" x14ac:dyDescent="0.2">
      <c r="A7" s="90" t="s">
        <v>315</v>
      </c>
      <c r="B7" s="74" t="s">
        <v>316</v>
      </c>
      <c r="C7" s="81">
        <f>4792.2*1.15</f>
        <v>5511.03</v>
      </c>
    </row>
    <row r="8" spans="1:8" x14ac:dyDescent="0.2">
      <c r="A8" s="90" t="s">
        <v>315</v>
      </c>
      <c r="B8" s="74" t="s">
        <v>317</v>
      </c>
      <c r="C8" s="81">
        <f>5999.1*1.15</f>
        <v>6898.9650000000001</v>
      </c>
    </row>
    <row r="9" spans="1:8" x14ac:dyDescent="0.2">
      <c r="A9" s="90" t="s">
        <v>315</v>
      </c>
      <c r="B9" s="74" t="s">
        <v>318</v>
      </c>
      <c r="C9" s="81">
        <f>8082.3*1.15</f>
        <v>9294.6449999999986</v>
      </c>
    </row>
    <row r="10" spans="1:8" x14ac:dyDescent="0.2">
      <c r="A10" s="90" t="s">
        <v>315</v>
      </c>
      <c r="B10" s="74" t="s">
        <v>319</v>
      </c>
      <c r="C10" s="81">
        <f>6229.5*1.15</f>
        <v>7163.9249999999993</v>
      </c>
    </row>
    <row r="11" spans="1:8" x14ac:dyDescent="0.2">
      <c r="A11" s="90" t="s">
        <v>315</v>
      </c>
      <c r="B11" s="74" t="s">
        <v>320</v>
      </c>
      <c r="C11" s="81">
        <f>4080.6*1.15</f>
        <v>4692.6899999999996</v>
      </c>
    </row>
    <row r="12" spans="1:8" x14ac:dyDescent="0.2">
      <c r="A12" s="90" t="s">
        <v>315</v>
      </c>
      <c r="B12" s="74" t="s">
        <v>321</v>
      </c>
      <c r="C12" s="81">
        <f>2521.73*1.15</f>
        <v>2899.9894999999997</v>
      </c>
    </row>
    <row r="13" spans="1:8" x14ac:dyDescent="0.2">
      <c r="A13" s="90" t="s">
        <v>315</v>
      </c>
      <c r="B13" s="74" t="s">
        <v>322</v>
      </c>
      <c r="C13" s="81">
        <v>17783.599999999999</v>
      </c>
    </row>
    <row r="14" spans="1:8" x14ac:dyDescent="0.2">
      <c r="A14" s="90" t="s">
        <v>315</v>
      </c>
      <c r="B14" s="74" t="s">
        <v>323</v>
      </c>
      <c r="C14" s="81">
        <v>21823.55</v>
      </c>
    </row>
    <row r="15" spans="1:8" x14ac:dyDescent="0.2">
      <c r="A15" s="90" t="s">
        <v>315</v>
      </c>
      <c r="B15" s="74" t="s">
        <v>324</v>
      </c>
      <c r="C15" s="81">
        <f>14800</f>
        <v>14800</v>
      </c>
    </row>
    <row r="16" spans="1:8" x14ac:dyDescent="0.2">
      <c r="A16" s="90" t="s">
        <v>315</v>
      </c>
      <c r="B16" s="74" t="s">
        <v>324</v>
      </c>
      <c r="C16" s="81">
        <f>14800</f>
        <v>14800</v>
      </c>
    </row>
    <row r="17" spans="1:3" x14ac:dyDescent="0.2">
      <c r="A17" s="90" t="s">
        <v>315</v>
      </c>
      <c r="B17" s="74" t="s">
        <v>324</v>
      </c>
      <c r="C17" s="81">
        <f>14800</f>
        <v>14800</v>
      </c>
    </row>
    <row r="18" spans="1:3" x14ac:dyDescent="0.2">
      <c r="A18" s="90" t="s">
        <v>315</v>
      </c>
      <c r="B18" s="74" t="s">
        <v>324</v>
      </c>
      <c r="C18" s="81">
        <v>14800</v>
      </c>
    </row>
    <row r="19" spans="1:3" x14ac:dyDescent="0.2">
      <c r="A19" s="90" t="s">
        <v>315</v>
      </c>
      <c r="B19" s="74" t="s">
        <v>324</v>
      </c>
      <c r="C19" s="81">
        <f>14800</f>
        <v>14800</v>
      </c>
    </row>
    <row r="20" spans="1:3" x14ac:dyDescent="0.2">
      <c r="A20" s="90" t="s">
        <v>315</v>
      </c>
      <c r="B20" s="74" t="s">
        <v>324</v>
      </c>
      <c r="C20" s="81">
        <f>14800</f>
        <v>14800</v>
      </c>
    </row>
    <row r="21" spans="1:3" x14ac:dyDescent="0.2">
      <c r="A21" s="90" t="s">
        <v>315</v>
      </c>
      <c r="B21" s="74" t="s">
        <v>325</v>
      </c>
      <c r="C21" s="81">
        <f>14800</f>
        <v>14800</v>
      </c>
    </row>
    <row r="22" spans="1:3" x14ac:dyDescent="0.2">
      <c r="A22" s="90" t="s">
        <v>315</v>
      </c>
      <c r="B22" s="74" t="s">
        <v>324</v>
      </c>
      <c r="C22" s="81">
        <f>14800</f>
        <v>14800</v>
      </c>
    </row>
    <row r="23" spans="1:3" x14ac:dyDescent="0.2">
      <c r="A23" s="90" t="s">
        <v>315</v>
      </c>
      <c r="B23" s="74" t="s">
        <v>324</v>
      </c>
      <c r="C23" s="81">
        <f>14800</f>
        <v>14800</v>
      </c>
    </row>
    <row r="24" spans="1:3" x14ac:dyDescent="0.2">
      <c r="A24" s="90" t="s">
        <v>315</v>
      </c>
      <c r="B24" s="74" t="s">
        <v>324</v>
      </c>
      <c r="C24" s="81">
        <f>14800</f>
        <v>14800</v>
      </c>
    </row>
    <row r="25" spans="1:3" x14ac:dyDescent="0.2">
      <c r="A25" s="90" t="s">
        <v>315</v>
      </c>
      <c r="B25" s="74" t="s">
        <v>324</v>
      </c>
      <c r="C25" s="81">
        <v>14800</v>
      </c>
    </row>
    <row r="26" spans="1:3" x14ac:dyDescent="0.2">
      <c r="A26" s="90" t="s">
        <v>315</v>
      </c>
      <c r="B26" s="74" t="s">
        <v>324</v>
      </c>
      <c r="C26" s="81">
        <f>14800</f>
        <v>14800</v>
      </c>
    </row>
    <row r="27" spans="1:3" x14ac:dyDescent="0.2">
      <c r="A27" s="90" t="s">
        <v>315</v>
      </c>
      <c r="B27" s="74" t="s">
        <v>324</v>
      </c>
      <c r="C27" s="81">
        <f>14800</f>
        <v>14800</v>
      </c>
    </row>
    <row r="28" spans="1:3" x14ac:dyDescent="0.2">
      <c r="A28" s="90" t="s">
        <v>315</v>
      </c>
      <c r="B28" s="74" t="s">
        <v>326</v>
      </c>
      <c r="C28" s="81">
        <f>14800</f>
        <v>14800</v>
      </c>
    </row>
    <row r="29" spans="1:3" x14ac:dyDescent="0.2">
      <c r="A29" s="90" t="s">
        <v>315</v>
      </c>
      <c r="B29" s="74" t="s">
        <v>324</v>
      </c>
      <c r="C29" s="81">
        <f>14800</f>
        <v>14800</v>
      </c>
    </row>
    <row r="30" spans="1:3" x14ac:dyDescent="0.2">
      <c r="A30" s="90" t="s">
        <v>315</v>
      </c>
      <c r="B30" s="74" t="s">
        <v>324</v>
      </c>
      <c r="C30" s="81">
        <f>14800</f>
        <v>14800</v>
      </c>
    </row>
    <row r="31" spans="1:3" x14ac:dyDescent="0.2">
      <c r="A31" s="90" t="s">
        <v>315</v>
      </c>
      <c r="B31" s="74" t="s">
        <v>324</v>
      </c>
      <c r="C31" s="81">
        <f>14800</f>
        <v>14800</v>
      </c>
    </row>
    <row r="32" spans="1:3" x14ac:dyDescent="0.2">
      <c r="A32" s="90" t="s">
        <v>315</v>
      </c>
      <c r="B32" s="74" t="s">
        <v>324</v>
      </c>
      <c r="C32" s="81">
        <f>14800</f>
        <v>14800</v>
      </c>
    </row>
    <row r="33" spans="1:3" x14ac:dyDescent="0.2">
      <c r="A33" s="90" t="s">
        <v>315</v>
      </c>
      <c r="B33" s="74" t="s">
        <v>324</v>
      </c>
      <c r="C33" s="81">
        <f>14800</f>
        <v>14800</v>
      </c>
    </row>
    <row r="34" spans="1:3" x14ac:dyDescent="0.2">
      <c r="A34" s="90" t="s">
        <v>315</v>
      </c>
      <c r="B34" s="74" t="s">
        <v>324</v>
      </c>
      <c r="C34" s="81">
        <f>14800</f>
        <v>14800</v>
      </c>
    </row>
    <row r="35" spans="1:3" x14ac:dyDescent="0.2">
      <c r="A35" s="90" t="s">
        <v>315</v>
      </c>
      <c r="B35" s="74" t="s">
        <v>324</v>
      </c>
      <c r="C35" s="81">
        <f>14800</f>
        <v>14800</v>
      </c>
    </row>
    <row r="36" spans="1:3" x14ac:dyDescent="0.2">
      <c r="A36" s="90" t="s">
        <v>315</v>
      </c>
      <c r="B36" s="74" t="s">
        <v>324</v>
      </c>
      <c r="C36" s="81">
        <f>14800</f>
        <v>14800</v>
      </c>
    </row>
    <row r="37" spans="1:3" x14ac:dyDescent="0.2">
      <c r="A37" s="90" t="s">
        <v>315</v>
      </c>
      <c r="B37" s="74" t="s">
        <v>324</v>
      </c>
      <c r="C37" s="81">
        <f>14800</f>
        <v>14800</v>
      </c>
    </row>
    <row r="38" spans="1:3" ht="12.75" customHeight="1" x14ac:dyDescent="0.2">
      <c r="A38" s="90" t="s">
        <v>315</v>
      </c>
      <c r="B38" s="74" t="s">
        <v>327</v>
      </c>
      <c r="C38" s="81">
        <f>14800</f>
        <v>14800</v>
      </c>
    </row>
    <row r="39" spans="1:3" x14ac:dyDescent="0.2">
      <c r="A39" s="90" t="s">
        <v>315</v>
      </c>
      <c r="B39" s="74" t="s">
        <v>324</v>
      </c>
      <c r="C39" s="81">
        <f>14800</f>
        <v>14800</v>
      </c>
    </row>
    <row r="40" spans="1:3" x14ac:dyDescent="0.2">
      <c r="A40" s="90" t="s">
        <v>315</v>
      </c>
      <c r="B40" s="74" t="s">
        <v>324</v>
      </c>
      <c r="C40" s="81">
        <f>14800</f>
        <v>14800</v>
      </c>
    </row>
    <row r="41" spans="1:3" x14ac:dyDescent="0.2">
      <c r="A41" s="90" t="s">
        <v>315</v>
      </c>
      <c r="B41" s="74" t="s">
        <v>324</v>
      </c>
      <c r="C41" s="81">
        <f>14800</f>
        <v>14800</v>
      </c>
    </row>
    <row r="42" spans="1:3" x14ac:dyDescent="0.2">
      <c r="A42" s="90" t="s">
        <v>315</v>
      </c>
      <c r="B42" s="74" t="s">
        <v>324</v>
      </c>
      <c r="C42" s="81">
        <f>14800</f>
        <v>14800</v>
      </c>
    </row>
    <row r="43" spans="1:3" x14ac:dyDescent="0.2">
      <c r="A43" s="90" t="s">
        <v>315</v>
      </c>
      <c r="B43" s="74" t="s">
        <v>328</v>
      </c>
      <c r="C43" s="81">
        <v>24173</v>
      </c>
    </row>
    <row r="44" spans="1:3" x14ac:dyDescent="0.2">
      <c r="A44" s="90" t="s">
        <v>315</v>
      </c>
      <c r="B44" s="74" t="s">
        <v>324</v>
      </c>
      <c r="C44" s="81">
        <v>17190.599999999999</v>
      </c>
    </row>
    <row r="45" spans="1:3" x14ac:dyDescent="0.2">
      <c r="A45" s="90" t="s">
        <v>315</v>
      </c>
      <c r="B45" s="74" t="s">
        <v>324</v>
      </c>
      <c r="C45" s="81">
        <v>17190.599999999999</v>
      </c>
    </row>
    <row r="46" spans="1:3" x14ac:dyDescent="0.2">
      <c r="A46" s="90" t="s">
        <v>315</v>
      </c>
      <c r="B46" s="74" t="s">
        <v>329</v>
      </c>
      <c r="C46" s="81">
        <v>9580.06</v>
      </c>
    </row>
    <row r="47" spans="1:3" x14ac:dyDescent="0.2">
      <c r="A47" s="90" t="s">
        <v>315</v>
      </c>
      <c r="B47" s="74" t="s">
        <v>330</v>
      </c>
      <c r="C47" s="81">
        <v>20265</v>
      </c>
    </row>
    <row r="48" spans="1:3" ht="63.75" x14ac:dyDescent="0.2">
      <c r="A48" s="90" t="s">
        <v>315</v>
      </c>
      <c r="B48" s="74" t="s">
        <v>331</v>
      </c>
      <c r="C48" s="81">
        <v>18000</v>
      </c>
    </row>
    <row r="49" spans="1:3" ht="27.75" customHeight="1" x14ac:dyDescent="0.2">
      <c r="A49" s="90" t="s">
        <v>315</v>
      </c>
      <c r="B49" s="74" t="s">
        <v>332</v>
      </c>
      <c r="C49" s="81">
        <v>2112.83</v>
      </c>
    </row>
    <row r="50" spans="1:3" ht="27" customHeight="1" x14ac:dyDescent="0.2">
      <c r="A50" s="90" t="s">
        <v>315</v>
      </c>
      <c r="B50" s="74" t="s">
        <v>333</v>
      </c>
      <c r="C50" s="81">
        <v>760.58</v>
      </c>
    </row>
    <row r="51" spans="1:3" x14ac:dyDescent="0.2">
      <c r="A51" s="90" t="s">
        <v>315</v>
      </c>
      <c r="B51" s="74" t="s">
        <v>334</v>
      </c>
      <c r="C51" s="81">
        <v>1149.67</v>
      </c>
    </row>
    <row r="52" spans="1:3" x14ac:dyDescent="0.2">
      <c r="A52" s="90" t="s">
        <v>315</v>
      </c>
      <c r="B52" s="74" t="s">
        <v>335</v>
      </c>
      <c r="C52" s="81">
        <v>2112.83</v>
      </c>
    </row>
    <row r="53" spans="1:3" ht="53.25" customHeight="1" x14ac:dyDescent="0.2">
      <c r="A53" s="90" t="s">
        <v>315</v>
      </c>
      <c r="B53" s="74" t="s">
        <v>336</v>
      </c>
      <c r="C53" s="81">
        <v>17300.23</v>
      </c>
    </row>
    <row r="54" spans="1:3" ht="53.25" customHeight="1" x14ac:dyDescent="0.2">
      <c r="A54" s="90" t="s">
        <v>315</v>
      </c>
      <c r="B54" s="74" t="s">
        <v>337</v>
      </c>
      <c r="C54" s="81">
        <v>17300.23</v>
      </c>
    </row>
    <row r="55" spans="1:3" ht="54" customHeight="1" x14ac:dyDescent="0.2">
      <c r="A55" s="90" t="s">
        <v>315</v>
      </c>
      <c r="B55" s="74" t="s">
        <v>337</v>
      </c>
      <c r="C55" s="81">
        <v>17300.23</v>
      </c>
    </row>
    <row r="56" spans="1:3" ht="54.75" customHeight="1" x14ac:dyDescent="0.2">
      <c r="A56" s="90" t="s">
        <v>315</v>
      </c>
      <c r="B56" s="74" t="s">
        <v>337</v>
      </c>
      <c r="C56" s="81">
        <v>17300.23</v>
      </c>
    </row>
    <row r="57" spans="1:3" ht="53.25" customHeight="1" x14ac:dyDescent="0.2">
      <c r="A57" s="90" t="s">
        <v>315</v>
      </c>
      <c r="B57" s="74" t="s">
        <v>337</v>
      </c>
      <c r="C57" s="81">
        <v>17300.23</v>
      </c>
    </row>
    <row r="58" spans="1:3" ht="51" x14ac:dyDescent="0.2">
      <c r="A58" s="90" t="s">
        <v>315</v>
      </c>
      <c r="B58" s="74" t="s">
        <v>337</v>
      </c>
      <c r="C58" s="81">
        <v>17300.23</v>
      </c>
    </row>
    <row r="59" spans="1:3" ht="51" x14ac:dyDescent="0.2">
      <c r="A59" s="90" t="s">
        <v>315</v>
      </c>
      <c r="B59" s="74" t="s">
        <v>337</v>
      </c>
      <c r="C59" s="81">
        <v>17300.23</v>
      </c>
    </row>
    <row r="60" spans="1:3" ht="54.75" customHeight="1" x14ac:dyDescent="0.2">
      <c r="A60" s="90" t="s">
        <v>315</v>
      </c>
      <c r="B60" s="74" t="s">
        <v>337</v>
      </c>
      <c r="C60" s="81">
        <v>17300.23</v>
      </c>
    </row>
    <row r="61" spans="1:3" ht="51" x14ac:dyDescent="0.2">
      <c r="A61" s="90" t="s">
        <v>315</v>
      </c>
      <c r="B61" s="74" t="s">
        <v>337</v>
      </c>
      <c r="C61" s="81">
        <v>17300.23</v>
      </c>
    </row>
    <row r="62" spans="1:3" ht="51.75" customHeight="1" x14ac:dyDescent="0.2">
      <c r="A62" s="90" t="s">
        <v>315</v>
      </c>
      <c r="B62" s="74" t="s">
        <v>337</v>
      </c>
      <c r="C62" s="81">
        <v>17300.23</v>
      </c>
    </row>
    <row r="63" spans="1:3" x14ac:dyDescent="0.2">
      <c r="A63" s="90" t="s">
        <v>315</v>
      </c>
      <c r="B63" s="74" t="s">
        <v>338</v>
      </c>
      <c r="C63" s="81">
        <v>653.29999999999995</v>
      </c>
    </row>
    <row r="64" spans="1:3" ht="25.5" x14ac:dyDescent="0.2">
      <c r="A64" s="90" t="s">
        <v>315</v>
      </c>
      <c r="B64" s="74" t="s">
        <v>339</v>
      </c>
      <c r="C64" s="81">
        <v>13537</v>
      </c>
    </row>
    <row r="65" spans="1:3" ht="15.95" customHeight="1" x14ac:dyDescent="0.2">
      <c r="A65" s="90" t="s">
        <v>315</v>
      </c>
      <c r="B65" s="74" t="s">
        <v>340</v>
      </c>
      <c r="C65" s="81">
        <v>13537</v>
      </c>
    </row>
    <row r="66" spans="1:3" ht="15.95" customHeight="1" x14ac:dyDescent="0.2">
      <c r="A66" s="90" t="s">
        <v>315</v>
      </c>
      <c r="B66" s="74" t="s">
        <v>340</v>
      </c>
      <c r="C66" s="81">
        <v>13537</v>
      </c>
    </row>
    <row r="67" spans="1:3" ht="15.95" customHeight="1" x14ac:dyDescent="0.2">
      <c r="A67" s="90" t="s">
        <v>315</v>
      </c>
      <c r="B67" s="74" t="s">
        <v>340</v>
      </c>
      <c r="C67" s="81">
        <v>13537</v>
      </c>
    </row>
    <row r="68" spans="1:3" ht="15.95" customHeight="1" x14ac:dyDescent="0.2">
      <c r="A68" s="90" t="s">
        <v>315</v>
      </c>
      <c r="B68" s="74" t="s">
        <v>340</v>
      </c>
      <c r="C68" s="81">
        <v>13537</v>
      </c>
    </row>
    <row r="69" spans="1:3" ht="15.95" customHeight="1" x14ac:dyDescent="0.2">
      <c r="A69" s="90" t="s">
        <v>315</v>
      </c>
      <c r="B69" s="74" t="s">
        <v>340</v>
      </c>
      <c r="C69" s="81">
        <v>13537</v>
      </c>
    </row>
    <row r="70" spans="1:3" ht="15.95" customHeight="1" x14ac:dyDescent="0.2">
      <c r="A70" s="90" t="s">
        <v>315</v>
      </c>
      <c r="B70" s="74" t="s">
        <v>340</v>
      </c>
      <c r="C70" s="81">
        <v>13537</v>
      </c>
    </row>
    <row r="71" spans="1:3" ht="15.95" customHeight="1" x14ac:dyDescent="0.2">
      <c r="A71" s="90" t="s">
        <v>315</v>
      </c>
      <c r="B71" s="74" t="s">
        <v>340</v>
      </c>
      <c r="C71" s="81">
        <v>13537</v>
      </c>
    </row>
    <row r="72" spans="1:3" ht="15.95" customHeight="1" x14ac:dyDescent="0.2">
      <c r="A72" s="90" t="s">
        <v>315</v>
      </c>
      <c r="B72" s="74" t="s">
        <v>340</v>
      </c>
      <c r="C72" s="81">
        <v>13537</v>
      </c>
    </row>
    <row r="73" spans="1:3" ht="15.95" customHeight="1" x14ac:dyDescent="0.2">
      <c r="A73" s="90" t="s">
        <v>315</v>
      </c>
      <c r="B73" s="74" t="s">
        <v>340</v>
      </c>
      <c r="C73" s="81">
        <v>13537</v>
      </c>
    </row>
    <row r="74" spans="1:3" ht="15.95" customHeight="1" x14ac:dyDescent="0.2">
      <c r="A74" s="90" t="s">
        <v>315</v>
      </c>
      <c r="B74" s="74" t="s">
        <v>340</v>
      </c>
      <c r="C74" s="81">
        <v>13537</v>
      </c>
    </row>
    <row r="75" spans="1:3" ht="15.95" customHeight="1" x14ac:dyDescent="0.2">
      <c r="A75" s="90" t="s">
        <v>315</v>
      </c>
      <c r="B75" s="74" t="s">
        <v>340</v>
      </c>
      <c r="C75" s="81">
        <v>13537</v>
      </c>
    </row>
    <row r="76" spans="1:3" ht="15.95" customHeight="1" x14ac:dyDescent="0.2">
      <c r="A76" s="90" t="s">
        <v>315</v>
      </c>
      <c r="B76" s="74" t="s">
        <v>340</v>
      </c>
      <c r="C76" s="81">
        <v>13537</v>
      </c>
    </row>
    <row r="77" spans="1:3" ht="15.95" customHeight="1" x14ac:dyDescent="0.2">
      <c r="A77" s="90" t="s">
        <v>315</v>
      </c>
      <c r="B77" s="74" t="s">
        <v>340</v>
      </c>
      <c r="C77" s="81">
        <v>13537</v>
      </c>
    </row>
    <row r="78" spans="1:3" ht="15.95" customHeight="1" x14ac:dyDescent="0.2">
      <c r="A78" s="90" t="s">
        <v>315</v>
      </c>
      <c r="B78" s="74" t="s">
        <v>340</v>
      </c>
      <c r="C78" s="81">
        <v>13537</v>
      </c>
    </row>
    <row r="79" spans="1:3" ht="15.95" customHeight="1" x14ac:dyDescent="0.2">
      <c r="A79" s="90" t="s">
        <v>315</v>
      </c>
      <c r="B79" s="74" t="s">
        <v>340</v>
      </c>
      <c r="C79" s="81">
        <v>13537</v>
      </c>
    </row>
    <row r="80" spans="1:3" ht="15.95" customHeight="1" x14ac:dyDescent="0.2">
      <c r="A80" s="90" t="s">
        <v>315</v>
      </c>
      <c r="B80" s="74" t="s">
        <v>340</v>
      </c>
      <c r="C80" s="81">
        <v>13537</v>
      </c>
    </row>
    <row r="81" spans="1:3" ht="15.95" customHeight="1" x14ac:dyDescent="0.2">
      <c r="A81" s="90" t="s">
        <v>315</v>
      </c>
      <c r="B81" s="74" t="s">
        <v>340</v>
      </c>
      <c r="C81" s="81">
        <v>13537</v>
      </c>
    </row>
    <row r="82" spans="1:3" x14ac:dyDescent="0.2">
      <c r="A82" s="90" t="s">
        <v>315</v>
      </c>
      <c r="B82" s="74" t="s">
        <v>341</v>
      </c>
      <c r="C82" s="81">
        <v>13537</v>
      </c>
    </row>
    <row r="83" spans="1:3" ht="15.95" customHeight="1" x14ac:dyDescent="0.2">
      <c r="A83" s="90" t="s">
        <v>315</v>
      </c>
      <c r="B83" s="74" t="s">
        <v>340</v>
      </c>
      <c r="C83" s="81">
        <v>13537</v>
      </c>
    </row>
    <row r="84" spans="1:3" x14ac:dyDescent="0.2">
      <c r="A84" s="90" t="s">
        <v>315</v>
      </c>
      <c r="B84" s="74" t="s">
        <v>342</v>
      </c>
      <c r="C84" s="81">
        <v>13537</v>
      </c>
    </row>
    <row r="85" spans="1:3" x14ac:dyDescent="0.2">
      <c r="A85" s="90" t="s">
        <v>315</v>
      </c>
      <c r="B85" s="74" t="s">
        <v>343</v>
      </c>
      <c r="C85" s="81">
        <v>13537</v>
      </c>
    </row>
    <row r="86" spans="1:3" x14ac:dyDescent="0.2">
      <c r="A86" s="90" t="s">
        <v>315</v>
      </c>
      <c r="B86" s="74" t="s">
        <v>341</v>
      </c>
      <c r="C86" s="81">
        <v>13537</v>
      </c>
    </row>
    <row r="87" spans="1:3" x14ac:dyDescent="0.2">
      <c r="A87" s="90" t="s">
        <v>315</v>
      </c>
      <c r="B87" s="74" t="s">
        <v>344</v>
      </c>
      <c r="C87" s="81">
        <v>13537</v>
      </c>
    </row>
    <row r="88" spans="1:3" x14ac:dyDescent="0.2">
      <c r="A88" s="90" t="s">
        <v>315</v>
      </c>
      <c r="B88" s="74" t="s">
        <v>344</v>
      </c>
      <c r="C88" s="81">
        <v>13537</v>
      </c>
    </row>
    <row r="89" spans="1:3" x14ac:dyDescent="0.2">
      <c r="A89" s="90" t="s">
        <v>315</v>
      </c>
      <c r="B89" s="74" t="s">
        <v>345</v>
      </c>
      <c r="C89" s="81">
        <v>13537</v>
      </c>
    </row>
    <row r="90" spans="1:3" x14ac:dyDescent="0.2">
      <c r="A90" s="90" t="s">
        <v>315</v>
      </c>
      <c r="B90" s="74" t="s">
        <v>344</v>
      </c>
      <c r="C90" s="81">
        <v>13537</v>
      </c>
    </row>
    <row r="91" spans="1:3" x14ac:dyDescent="0.2">
      <c r="A91" s="90" t="s">
        <v>315</v>
      </c>
      <c r="B91" s="74" t="s">
        <v>343</v>
      </c>
      <c r="C91" s="81">
        <v>13537</v>
      </c>
    </row>
    <row r="92" spans="1:3" x14ac:dyDescent="0.2">
      <c r="A92" s="90" t="s">
        <v>315</v>
      </c>
      <c r="B92" s="74" t="s">
        <v>341</v>
      </c>
      <c r="C92" s="81">
        <v>13537</v>
      </c>
    </row>
    <row r="93" spans="1:3" x14ac:dyDescent="0.2">
      <c r="A93" s="90" t="s">
        <v>315</v>
      </c>
      <c r="B93" s="74" t="s">
        <v>344</v>
      </c>
      <c r="C93" s="81">
        <v>13537</v>
      </c>
    </row>
    <row r="94" spans="1:3" x14ac:dyDescent="0.2">
      <c r="A94" s="90" t="s">
        <v>315</v>
      </c>
      <c r="B94" s="74" t="s">
        <v>344</v>
      </c>
      <c r="C94" s="81">
        <v>13537</v>
      </c>
    </row>
    <row r="95" spans="1:3" x14ac:dyDescent="0.2">
      <c r="A95" s="90" t="s">
        <v>315</v>
      </c>
      <c r="B95" s="74" t="s">
        <v>344</v>
      </c>
      <c r="C95" s="81">
        <v>13537</v>
      </c>
    </row>
    <row r="96" spans="1:3" x14ac:dyDescent="0.2">
      <c r="A96" s="90" t="s">
        <v>315</v>
      </c>
      <c r="B96" s="74" t="s">
        <v>341</v>
      </c>
      <c r="C96" s="81">
        <v>13537</v>
      </c>
    </row>
    <row r="97" spans="1:3" x14ac:dyDescent="0.2">
      <c r="A97" s="90" t="s">
        <v>315</v>
      </c>
      <c r="B97" s="74" t="s">
        <v>344</v>
      </c>
      <c r="C97" s="81">
        <v>13537</v>
      </c>
    </row>
    <row r="98" spans="1:3" x14ac:dyDescent="0.2">
      <c r="A98" s="90" t="s">
        <v>315</v>
      </c>
      <c r="B98" s="74" t="s">
        <v>344</v>
      </c>
      <c r="C98" s="81">
        <v>13537</v>
      </c>
    </row>
    <row r="99" spans="1:3" x14ac:dyDescent="0.2">
      <c r="A99" s="90" t="s">
        <v>315</v>
      </c>
      <c r="B99" s="74" t="s">
        <v>341</v>
      </c>
      <c r="C99" s="81">
        <v>13537</v>
      </c>
    </row>
    <row r="100" spans="1:3" x14ac:dyDescent="0.2">
      <c r="A100" s="90" t="s">
        <v>315</v>
      </c>
      <c r="B100" s="74" t="s">
        <v>341</v>
      </c>
      <c r="C100" s="81">
        <v>13537</v>
      </c>
    </row>
    <row r="101" spans="1:3" x14ac:dyDescent="0.2">
      <c r="A101" s="90" t="s">
        <v>315</v>
      </c>
      <c r="B101" s="74" t="s">
        <v>344</v>
      </c>
      <c r="C101" s="81">
        <v>13537</v>
      </c>
    </row>
    <row r="102" spans="1:3" x14ac:dyDescent="0.2">
      <c r="A102" s="90" t="s">
        <v>315</v>
      </c>
      <c r="B102" s="74" t="s">
        <v>341</v>
      </c>
      <c r="C102" s="81">
        <v>13537</v>
      </c>
    </row>
    <row r="103" spans="1:3" x14ac:dyDescent="0.2">
      <c r="A103" s="90" t="s">
        <v>315</v>
      </c>
      <c r="B103" s="74" t="s">
        <v>344</v>
      </c>
      <c r="C103" s="81">
        <v>13537</v>
      </c>
    </row>
    <row r="104" spans="1:3" x14ac:dyDescent="0.2">
      <c r="A104" s="90" t="s">
        <v>315</v>
      </c>
      <c r="B104" s="74" t="s">
        <v>346</v>
      </c>
      <c r="C104" s="81">
        <v>13537</v>
      </c>
    </row>
    <row r="105" spans="1:3" x14ac:dyDescent="0.2">
      <c r="A105" s="90" t="s">
        <v>315</v>
      </c>
      <c r="B105" s="74" t="s">
        <v>346</v>
      </c>
      <c r="C105" s="81">
        <v>13537</v>
      </c>
    </row>
    <row r="106" spans="1:3" x14ac:dyDescent="0.2">
      <c r="A106" s="90" t="s">
        <v>315</v>
      </c>
      <c r="B106" s="74" t="s">
        <v>347</v>
      </c>
      <c r="C106" s="81">
        <v>13537</v>
      </c>
    </row>
    <row r="107" spans="1:3" x14ac:dyDescent="0.2">
      <c r="A107" s="90" t="s">
        <v>315</v>
      </c>
      <c r="B107" s="74" t="s">
        <v>348</v>
      </c>
      <c r="C107" s="81">
        <v>13537</v>
      </c>
    </row>
    <row r="108" spans="1:3" x14ac:dyDescent="0.2">
      <c r="A108" s="90" t="s">
        <v>315</v>
      </c>
      <c r="B108" s="74" t="s">
        <v>349</v>
      </c>
      <c r="C108" s="81">
        <v>13537</v>
      </c>
    </row>
    <row r="109" spans="1:3" x14ac:dyDescent="0.2">
      <c r="A109" s="90" t="s">
        <v>315</v>
      </c>
      <c r="B109" s="74" t="s">
        <v>350</v>
      </c>
      <c r="C109" s="81">
        <v>13537</v>
      </c>
    </row>
    <row r="110" spans="1:3" x14ac:dyDescent="0.2">
      <c r="A110" s="90" t="s">
        <v>315</v>
      </c>
      <c r="B110" s="74" t="s">
        <v>346</v>
      </c>
      <c r="C110" s="81">
        <v>13537</v>
      </c>
    </row>
    <row r="111" spans="1:3" x14ac:dyDescent="0.2">
      <c r="A111" s="90" t="s">
        <v>315</v>
      </c>
      <c r="B111" s="74" t="s">
        <v>351</v>
      </c>
      <c r="C111" s="81">
        <v>9697</v>
      </c>
    </row>
    <row r="112" spans="1:3" x14ac:dyDescent="0.2">
      <c r="A112" s="90" t="s">
        <v>315</v>
      </c>
      <c r="B112" s="74" t="s">
        <v>352</v>
      </c>
      <c r="C112" s="81">
        <v>14997</v>
      </c>
    </row>
    <row r="113" spans="1:3" x14ac:dyDescent="0.2">
      <c r="A113" s="90" t="s">
        <v>315</v>
      </c>
      <c r="B113" s="74" t="s">
        <v>352</v>
      </c>
      <c r="C113" s="81">
        <v>14997</v>
      </c>
    </row>
    <row r="114" spans="1:3" x14ac:dyDescent="0.2">
      <c r="A114" s="90" t="s">
        <v>315</v>
      </c>
      <c r="B114" s="74" t="s">
        <v>346</v>
      </c>
      <c r="C114" s="81">
        <v>16674.759999999998</v>
      </c>
    </row>
    <row r="115" spans="1:3" x14ac:dyDescent="0.2">
      <c r="A115" s="90" t="s">
        <v>315</v>
      </c>
      <c r="B115" s="74" t="s">
        <v>349</v>
      </c>
      <c r="C115" s="81">
        <v>16674.759999999998</v>
      </c>
    </row>
    <row r="116" spans="1:3" x14ac:dyDescent="0.2">
      <c r="A116" s="90" t="s">
        <v>315</v>
      </c>
      <c r="B116" s="74" t="s">
        <v>346</v>
      </c>
      <c r="C116" s="81">
        <v>16674.759999999998</v>
      </c>
    </row>
    <row r="117" spans="1:3" x14ac:dyDescent="0.2">
      <c r="A117" s="90" t="s">
        <v>315</v>
      </c>
      <c r="B117" s="74" t="s">
        <v>346</v>
      </c>
      <c r="C117" s="81">
        <v>12239.43</v>
      </c>
    </row>
    <row r="118" spans="1:3" x14ac:dyDescent="0.2">
      <c r="A118" s="90" t="s">
        <v>315</v>
      </c>
      <c r="B118" s="74" t="s">
        <v>346</v>
      </c>
      <c r="C118" s="81">
        <v>12752.5</v>
      </c>
    </row>
    <row r="119" spans="1:3" x14ac:dyDescent="0.2">
      <c r="A119" s="90" t="s">
        <v>315</v>
      </c>
      <c r="B119" s="74" t="s">
        <v>346</v>
      </c>
      <c r="C119" s="81">
        <v>12752.5</v>
      </c>
    </row>
    <row r="120" spans="1:3" x14ac:dyDescent="0.2">
      <c r="A120" s="90" t="s">
        <v>315</v>
      </c>
      <c r="B120" s="74" t="s">
        <v>346</v>
      </c>
      <c r="C120" s="81">
        <v>12752.5</v>
      </c>
    </row>
    <row r="121" spans="1:3" x14ac:dyDescent="0.2">
      <c r="A121" s="90" t="s">
        <v>315</v>
      </c>
      <c r="B121" s="74" t="s">
        <v>346</v>
      </c>
      <c r="C121" s="81">
        <v>12752.5</v>
      </c>
    </row>
    <row r="122" spans="1:3" x14ac:dyDescent="0.2">
      <c r="A122" s="90" t="s">
        <v>315</v>
      </c>
      <c r="B122" s="74" t="s">
        <v>346</v>
      </c>
      <c r="C122" s="81">
        <v>12752.5</v>
      </c>
    </row>
    <row r="123" spans="1:3" x14ac:dyDescent="0.2">
      <c r="A123" s="90" t="s">
        <v>315</v>
      </c>
      <c r="B123" s="74" t="s">
        <v>353</v>
      </c>
      <c r="C123" s="81">
        <v>12752.5</v>
      </c>
    </row>
    <row r="124" spans="1:3" x14ac:dyDescent="0.2">
      <c r="A124" s="90" t="s">
        <v>315</v>
      </c>
      <c r="B124" s="74" t="s">
        <v>346</v>
      </c>
      <c r="C124" s="81">
        <v>12752.5</v>
      </c>
    </row>
    <row r="125" spans="1:3" x14ac:dyDescent="0.2">
      <c r="A125" s="90" t="s">
        <v>315</v>
      </c>
      <c r="B125" s="74" t="s">
        <v>346</v>
      </c>
      <c r="C125" s="81">
        <v>12752.5</v>
      </c>
    </row>
    <row r="126" spans="1:3" x14ac:dyDescent="0.2">
      <c r="A126" s="90" t="s">
        <v>315</v>
      </c>
      <c r="B126" s="74" t="s">
        <v>346</v>
      </c>
      <c r="C126" s="81">
        <v>12752.5</v>
      </c>
    </row>
    <row r="127" spans="1:3" x14ac:dyDescent="0.2">
      <c r="A127" s="90" t="s">
        <v>315</v>
      </c>
      <c r="B127" s="74" t="s">
        <v>346</v>
      </c>
      <c r="C127" s="81">
        <v>12752.5</v>
      </c>
    </row>
    <row r="128" spans="1:3" x14ac:dyDescent="0.2">
      <c r="A128" s="90" t="s">
        <v>315</v>
      </c>
      <c r="B128" s="74" t="s">
        <v>346</v>
      </c>
      <c r="C128" s="81">
        <v>12752.5</v>
      </c>
    </row>
    <row r="129" spans="1:3" x14ac:dyDescent="0.2">
      <c r="A129" s="90" t="s">
        <v>315</v>
      </c>
      <c r="B129" s="74" t="s">
        <v>346</v>
      </c>
      <c r="C129" s="81">
        <v>12752.5</v>
      </c>
    </row>
    <row r="130" spans="1:3" x14ac:dyDescent="0.2">
      <c r="A130" s="90" t="s">
        <v>315</v>
      </c>
      <c r="B130" s="74" t="s">
        <v>346</v>
      </c>
      <c r="C130" s="81">
        <v>12752.5</v>
      </c>
    </row>
    <row r="131" spans="1:3" x14ac:dyDescent="0.2">
      <c r="A131" s="90" t="s">
        <v>315</v>
      </c>
      <c r="B131" s="74" t="s">
        <v>346</v>
      </c>
      <c r="C131" s="81">
        <v>12752.5</v>
      </c>
    </row>
    <row r="132" spans="1:3" x14ac:dyDescent="0.2">
      <c r="A132" s="90" t="s">
        <v>315</v>
      </c>
      <c r="B132" s="74" t="s">
        <v>346</v>
      </c>
      <c r="C132" s="81">
        <v>12752.5</v>
      </c>
    </row>
    <row r="133" spans="1:3" x14ac:dyDescent="0.2">
      <c r="A133" s="90" t="s">
        <v>315</v>
      </c>
      <c r="B133" s="74" t="s">
        <v>346</v>
      </c>
      <c r="C133" s="81">
        <v>12752.5</v>
      </c>
    </row>
    <row r="134" spans="1:3" x14ac:dyDescent="0.2">
      <c r="A134" s="90" t="s">
        <v>315</v>
      </c>
      <c r="B134" s="74" t="s">
        <v>346</v>
      </c>
      <c r="C134" s="81">
        <v>12752.5</v>
      </c>
    </row>
    <row r="135" spans="1:3" x14ac:dyDescent="0.2">
      <c r="A135" s="90" t="s">
        <v>315</v>
      </c>
      <c r="B135" s="74" t="s">
        <v>346</v>
      </c>
      <c r="C135" s="81">
        <v>12752.5</v>
      </c>
    </row>
    <row r="136" spans="1:3" x14ac:dyDescent="0.2">
      <c r="A136" s="90" t="s">
        <v>315</v>
      </c>
      <c r="B136" s="74" t="s">
        <v>346</v>
      </c>
      <c r="C136" s="81">
        <v>12752.5</v>
      </c>
    </row>
    <row r="137" spans="1:3" x14ac:dyDescent="0.2">
      <c r="A137" s="90" t="s">
        <v>315</v>
      </c>
      <c r="B137" s="74" t="s">
        <v>346</v>
      </c>
      <c r="C137" s="81">
        <v>12752.5</v>
      </c>
    </row>
    <row r="138" spans="1:3" x14ac:dyDescent="0.2">
      <c r="A138" s="90" t="s">
        <v>315</v>
      </c>
      <c r="B138" s="74" t="s">
        <v>346</v>
      </c>
      <c r="C138" s="81">
        <v>12752.5</v>
      </c>
    </row>
    <row r="139" spans="1:3" x14ac:dyDescent="0.2">
      <c r="A139" s="90" t="s">
        <v>315</v>
      </c>
      <c r="B139" s="74" t="s">
        <v>346</v>
      </c>
      <c r="C139" s="81">
        <v>12752.5</v>
      </c>
    </row>
    <row r="140" spans="1:3" x14ac:dyDescent="0.2">
      <c r="A140" s="90" t="s">
        <v>315</v>
      </c>
      <c r="B140" s="74" t="s">
        <v>346</v>
      </c>
      <c r="C140" s="81">
        <v>12752.5</v>
      </c>
    </row>
    <row r="141" spans="1:3" x14ac:dyDescent="0.2">
      <c r="A141" s="90" t="s">
        <v>315</v>
      </c>
      <c r="B141" s="74" t="s">
        <v>346</v>
      </c>
      <c r="C141" s="81">
        <v>12752.5</v>
      </c>
    </row>
    <row r="142" spans="1:3" x14ac:dyDescent="0.2">
      <c r="A142" s="90" t="s">
        <v>315</v>
      </c>
      <c r="B142" s="74" t="s">
        <v>346</v>
      </c>
      <c r="C142" s="81">
        <v>12752.5</v>
      </c>
    </row>
    <row r="143" spans="1:3" x14ac:dyDescent="0.2">
      <c r="A143" s="90" t="s">
        <v>315</v>
      </c>
      <c r="B143" s="74" t="s">
        <v>346</v>
      </c>
      <c r="C143" s="81">
        <v>12752.5</v>
      </c>
    </row>
    <row r="144" spans="1:3" x14ac:dyDescent="0.2">
      <c r="A144" s="90" t="s">
        <v>315</v>
      </c>
      <c r="B144" s="74" t="s">
        <v>346</v>
      </c>
      <c r="C144" s="81">
        <v>12752.5</v>
      </c>
    </row>
    <row r="145" spans="1:3" x14ac:dyDescent="0.2">
      <c r="A145" s="90" t="s">
        <v>315</v>
      </c>
      <c r="B145" s="74" t="s">
        <v>346</v>
      </c>
      <c r="C145" s="81">
        <v>12752.5</v>
      </c>
    </row>
    <row r="146" spans="1:3" x14ac:dyDescent="0.2">
      <c r="A146" s="90" t="s">
        <v>315</v>
      </c>
      <c r="B146" s="74" t="s">
        <v>346</v>
      </c>
      <c r="C146" s="81">
        <v>12752.5</v>
      </c>
    </row>
    <row r="147" spans="1:3" x14ac:dyDescent="0.2">
      <c r="A147" s="90" t="s">
        <v>315</v>
      </c>
      <c r="B147" s="74" t="s">
        <v>346</v>
      </c>
      <c r="C147" s="81">
        <v>12752.5</v>
      </c>
    </row>
    <row r="148" spans="1:3" x14ac:dyDescent="0.2">
      <c r="A148" s="90" t="s">
        <v>315</v>
      </c>
      <c r="B148" s="74" t="s">
        <v>346</v>
      </c>
      <c r="C148" s="81">
        <v>12752.5</v>
      </c>
    </row>
    <row r="149" spans="1:3" x14ac:dyDescent="0.2">
      <c r="A149" s="90" t="s">
        <v>315</v>
      </c>
      <c r="B149" s="74" t="s">
        <v>346</v>
      </c>
      <c r="C149" s="81">
        <v>12752.5</v>
      </c>
    </row>
    <row r="150" spans="1:3" ht="15.95" customHeight="1" x14ac:dyDescent="0.2">
      <c r="A150" s="90" t="s">
        <v>315</v>
      </c>
      <c r="B150" s="74" t="s">
        <v>340</v>
      </c>
      <c r="C150" s="81">
        <v>12752.5</v>
      </c>
    </row>
    <row r="151" spans="1:3" x14ac:dyDescent="0.2">
      <c r="A151" s="90" t="s">
        <v>315</v>
      </c>
      <c r="B151" s="74" t="s">
        <v>346</v>
      </c>
      <c r="C151" s="81">
        <v>12752.5</v>
      </c>
    </row>
    <row r="152" spans="1:3" x14ac:dyDescent="0.2">
      <c r="A152" s="90" t="s">
        <v>315</v>
      </c>
      <c r="B152" s="74" t="s">
        <v>346</v>
      </c>
      <c r="C152" s="81">
        <v>13243</v>
      </c>
    </row>
    <row r="153" spans="1:3" x14ac:dyDescent="0.2">
      <c r="A153" s="90" t="s">
        <v>315</v>
      </c>
      <c r="B153" s="74" t="s">
        <v>346</v>
      </c>
      <c r="C153" s="81">
        <v>13243</v>
      </c>
    </row>
    <row r="154" spans="1:3" x14ac:dyDescent="0.2">
      <c r="A154" s="90" t="s">
        <v>315</v>
      </c>
      <c r="B154" s="74" t="s">
        <v>346</v>
      </c>
      <c r="C154" s="81">
        <v>13243</v>
      </c>
    </row>
    <row r="155" spans="1:3" x14ac:dyDescent="0.2">
      <c r="A155" s="90" t="s">
        <v>315</v>
      </c>
      <c r="B155" s="74" t="s">
        <v>350</v>
      </c>
      <c r="C155" s="81">
        <v>13243</v>
      </c>
    </row>
    <row r="156" spans="1:3" x14ac:dyDescent="0.2">
      <c r="A156" s="90" t="s">
        <v>315</v>
      </c>
      <c r="B156" s="74" t="s">
        <v>354</v>
      </c>
      <c r="C156" s="81">
        <v>13243</v>
      </c>
    </row>
    <row r="157" spans="1:3" x14ac:dyDescent="0.2">
      <c r="A157" s="90" t="s">
        <v>315</v>
      </c>
      <c r="B157" s="74" t="s">
        <v>346</v>
      </c>
      <c r="C157" s="81">
        <v>13243</v>
      </c>
    </row>
    <row r="158" spans="1:3" x14ac:dyDescent="0.2">
      <c r="A158" s="90" t="s">
        <v>315</v>
      </c>
      <c r="B158" s="74" t="s">
        <v>346</v>
      </c>
      <c r="C158" s="81">
        <v>13243</v>
      </c>
    </row>
    <row r="159" spans="1:3" x14ac:dyDescent="0.2">
      <c r="A159" s="90" t="s">
        <v>315</v>
      </c>
      <c r="B159" s="74" t="s">
        <v>350</v>
      </c>
      <c r="C159" s="81">
        <v>13243</v>
      </c>
    </row>
    <row r="160" spans="1:3" x14ac:dyDescent="0.2">
      <c r="A160" s="90" t="s">
        <v>315</v>
      </c>
      <c r="B160" s="74" t="s">
        <v>346</v>
      </c>
      <c r="C160" s="81">
        <v>13243</v>
      </c>
    </row>
    <row r="161" spans="1:3" x14ac:dyDescent="0.2">
      <c r="A161" s="90" t="s">
        <v>315</v>
      </c>
      <c r="B161" s="74" t="s">
        <v>346</v>
      </c>
      <c r="C161" s="81">
        <v>13243</v>
      </c>
    </row>
    <row r="162" spans="1:3" x14ac:dyDescent="0.2">
      <c r="A162" s="90" t="s">
        <v>315</v>
      </c>
      <c r="B162" s="74" t="s">
        <v>353</v>
      </c>
      <c r="C162" s="81">
        <v>13243</v>
      </c>
    </row>
    <row r="163" spans="1:3" x14ac:dyDescent="0.2">
      <c r="A163" s="90" t="s">
        <v>315</v>
      </c>
      <c r="B163" s="74" t="s">
        <v>346</v>
      </c>
      <c r="C163" s="81">
        <v>13243</v>
      </c>
    </row>
    <row r="164" spans="1:3" x14ac:dyDescent="0.2">
      <c r="A164" s="90" t="s">
        <v>315</v>
      </c>
      <c r="B164" s="74" t="s">
        <v>353</v>
      </c>
      <c r="C164" s="81">
        <v>13243</v>
      </c>
    </row>
    <row r="165" spans="1:3" x14ac:dyDescent="0.2">
      <c r="A165" s="90" t="s">
        <v>315</v>
      </c>
      <c r="B165" s="74" t="s">
        <v>352</v>
      </c>
      <c r="C165" s="81">
        <v>12637.48</v>
      </c>
    </row>
    <row r="166" spans="1:3" ht="25.5" x14ac:dyDescent="0.2">
      <c r="A166" s="90" t="s">
        <v>315</v>
      </c>
      <c r="B166" s="74" t="s">
        <v>355</v>
      </c>
      <c r="C166" s="81">
        <v>33561</v>
      </c>
    </row>
    <row r="167" spans="1:3" ht="25.5" x14ac:dyDescent="0.2">
      <c r="A167" s="90" t="s">
        <v>315</v>
      </c>
      <c r="B167" s="74" t="s">
        <v>356</v>
      </c>
      <c r="C167" s="81">
        <v>44150.400000000001</v>
      </c>
    </row>
    <row r="168" spans="1:3" x14ac:dyDescent="0.2">
      <c r="A168" s="90" t="s">
        <v>315</v>
      </c>
      <c r="B168" s="74" t="s">
        <v>357</v>
      </c>
      <c r="C168" s="81">
        <v>741</v>
      </c>
    </row>
    <row r="169" spans="1:3" x14ac:dyDescent="0.2">
      <c r="A169" s="90" t="s">
        <v>315</v>
      </c>
      <c r="B169" s="74" t="s">
        <v>358</v>
      </c>
      <c r="C169" s="81">
        <f>12017.16*1.15</f>
        <v>13819.733999999999</v>
      </c>
    </row>
    <row r="170" spans="1:3" x14ac:dyDescent="0.2">
      <c r="A170" s="90" t="s">
        <v>315</v>
      </c>
      <c r="B170" s="74" t="s">
        <v>359</v>
      </c>
      <c r="C170" s="81">
        <f>6240.4*1.15</f>
        <v>7176.4599999999991</v>
      </c>
    </row>
    <row r="171" spans="1:3" x14ac:dyDescent="0.2">
      <c r="A171" s="90" t="s">
        <v>315</v>
      </c>
      <c r="B171" s="74" t="s">
        <v>360</v>
      </c>
      <c r="C171" s="81">
        <f>6766.2*1.15</f>
        <v>7781.1299999999992</v>
      </c>
    </row>
    <row r="172" spans="1:3" x14ac:dyDescent="0.2">
      <c r="A172" s="90" t="s">
        <v>315</v>
      </c>
      <c r="B172" s="74" t="s">
        <v>361</v>
      </c>
      <c r="C172" s="81">
        <f>11490.61*1.15</f>
        <v>13214.201499999999</v>
      </c>
    </row>
    <row r="173" spans="1:3" x14ac:dyDescent="0.2">
      <c r="A173" s="90" t="s">
        <v>315</v>
      </c>
      <c r="B173" s="74" t="s">
        <v>362</v>
      </c>
      <c r="C173" s="81">
        <f>8739.63*1.15</f>
        <v>10050.574499999999</v>
      </c>
    </row>
    <row r="174" spans="1:3" x14ac:dyDescent="0.2">
      <c r="A174" s="90" t="s">
        <v>315</v>
      </c>
      <c r="B174" s="74" t="s">
        <v>363</v>
      </c>
      <c r="C174" s="81">
        <v>1055</v>
      </c>
    </row>
    <row r="175" spans="1:3" x14ac:dyDescent="0.2">
      <c r="A175" s="90" t="s">
        <v>315</v>
      </c>
      <c r="B175" s="74" t="s">
        <v>364</v>
      </c>
      <c r="C175" s="81">
        <v>7670</v>
      </c>
    </row>
    <row r="176" spans="1:3" x14ac:dyDescent="0.2">
      <c r="A176" s="90" t="s">
        <v>315</v>
      </c>
      <c r="B176" s="74" t="s">
        <v>365</v>
      </c>
      <c r="C176" s="81">
        <v>40842.410000000003</v>
      </c>
    </row>
    <row r="177" spans="1:3" x14ac:dyDescent="0.2">
      <c r="A177" s="90" t="s">
        <v>315</v>
      </c>
      <c r="B177" s="74" t="s">
        <v>366</v>
      </c>
      <c r="C177" s="81">
        <v>27000</v>
      </c>
    </row>
    <row r="178" spans="1:3" x14ac:dyDescent="0.2">
      <c r="A178" s="90" t="s">
        <v>315</v>
      </c>
      <c r="B178" s="74" t="s">
        <v>364</v>
      </c>
      <c r="C178" s="81">
        <v>6440</v>
      </c>
    </row>
    <row r="179" spans="1:3" x14ac:dyDescent="0.2">
      <c r="A179" s="90" t="s">
        <v>315</v>
      </c>
      <c r="B179" s="74" t="s">
        <v>352</v>
      </c>
      <c r="C179" s="81">
        <v>16664.05</v>
      </c>
    </row>
    <row r="180" spans="1:3" x14ac:dyDescent="0.2">
      <c r="A180" s="90" t="s">
        <v>315</v>
      </c>
      <c r="B180" s="74" t="s">
        <v>352</v>
      </c>
      <c r="C180" s="81">
        <v>16664.05</v>
      </c>
    </row>
    <row r="181" spans="1:3" x14ac:dyDescent="0.2">
      <c r="A181" s="90" t="s">
        <v>315</v>
      </c>
      <c r="B181" s="74" t="s">
        <v>367</v>
      </c>
      <c r="C181" s="81">
        <v>1180.75</v>
      </c>
    </row>
    <row r="182" spans="1:3" x14ac:dyDescent="0.2">
      <c r="A182" s="90" t="s">
        <v>315</v>
      </c>
      <c r="B182" s="74" t="s">
        <v>368</v>
      </c>
      <c r="C182" s="81">
        <v>572.5</v>
      </c>
    </row>
    <row r="183" spans="1:3" x14ac:dyDescent="0.2">
      <c r="A183" s="90" t="s">
        <v>315</v>
      </c>
      <c r="B183" s="74" t="s">
        <v>368</v>
      </c>
      <c r="C183" s="81">
        <v>572.5</v>
      </c>
    </row>
    <row r="184" spans="1:3" x14ac:dyDescent="0.2">
      <c r="A184" s="90" t="s">
        <v>315</v>
      </c>
      <c r="B184" s="74" t="s">
        <v>368</v>
      </c>
      <c r="C184" s="81">
        <v>572.5</v>
      </c>
    </row>
    <row r="185" spans="1:3" x14ac:dyDescent="0.2">
      <c r="A185" s="90" t="s">
        <v>315</v>
      </c>
      <c r="B185" s="74" t="s">
        <v>368</v>
      </c>
      <c r="C185" s="81">
        <v>572.5</v>
      </c>
    </row>
    <row r="186" spans="1:3" x14ac:dyDescent="0.2">
      <c r="A186" s="90" t="s">
        <v>315</v>
      </c>
      <c r="B186" s="74" t="s">
        <v>368</v>
      </c>
      <c r="C186" s="81">
        <v>572.5</v>
      </c>
    </row>
    <row r="187" spans="1:3" x14ac:dyDescent="0.2">
      <c r="A187" s="90" t="s">
        <v>315</v>
      </c>
      <c r="B187" s="74" t="s">
        <v>369</v>
      </c>
      <c r="C187" s="81">
        <v>16270</v>
      </c>
    </row>
    <row r="188" spans="1:3" x14ac:dyDescent="0.2">
      <c r="A188" s="90" t="s">
        <v>315</v>
      </c>
      <c r="B188" s="74" t="s">
        <v>346</v>
      </c>
      <c r="C188" s="81">
        <f t="shared" ref="C188:C235" si="0">12708.1*1.16</f>
        <v>14741.395999999999</v>
      </c>
    </row>
    <row r="189" spans="1:3" x14ac:dyDescent="0.2">
      <c r="A189" s="90" t="s">
        <v>315</v>
      </c>
      <c r="B189" s="74" t="s">
        <v>346</v>
      </c>
      <c r="C189" s="81">
        <f t="shared" si="0"/>
        <v>14741.395999999999</v>
      </c>
    </row>
    <row r="190" spans="1:3" x14ac:dyDescent="0.2">
      <c r="A190" s="90" t="s">
        <v>315</v>
      </c>
      <c r="B190" s="74" t="s">
        <v>346</v>
      </c>
      <c r="C190" s="81">
        <f t="shared" si="0"/>
        <v>14741.395999999999</v>
      </c>
    </row>
    <row r="191" spans="1:3" x14ac:dyDescent="0.2">
      <c r="A191" s="90" t="s">
        <v>315</v>
      </c>
      <c r="B191" s="74" t="s">
        <v>346</v>
      </c>
      <c r="C191" s="81">
        <f t="shared" si="0"/>
        <v>14741.395999999999</v>
      </c>
    </row>
    <row r="192" spans="1:3" x14ac:dyDescent="0.2">
      <c r="A192" s="90" t="s">
        <v>315</v>
      </c>
      <c r="B192" s="74" t="s">
        <v>346</v>
      </c>
      <c r="C192" s="81">
        <f t="shared" si="0"/>
        <v>14741.395999999999</v>
      </c>
    </row>
    <row r="193" spans="1:3" x14ac:dyDescent="0.2">
      <c r="A193" s="90" t="s">
        <v>315</v>
      </c>
      <c r="B193" s="74" t="s">
        <v>346</v>
      </c>
      <c r="C193" s="81">
        <f t="shared" si="0"/>
        <v>14741.395999999999</v>
      </c>
    </row>
    <row r="194" spans="1:3" x14ac:dyDescent="0.2">
      <c r="A194" s="90" t="s">
        <v>315</v>
      </c>
      <c r="B194" s="74" t="s">
        <v>346</v>
      </c>
      <c r="C194" s="81">
        <f t="shared" si="0"/>
        <v>14741.395999999999</v>
      </c>
    </row>
    <row r="195" spans="1:3" x14ac:dyDescent="0.2">
      <c r="A195" s="90" t="s">
        <v>315</v>
      </c>
      <c r="B195" s="74" t="s">
        <v>346</v>
      </c>
      <c r="C195" s="81">
        <f t="shared" si="0"/>
        <v>14741.395999999999</v>
      </c>
    </row>
    <row r="196" spans="1:3" x14ac:dyDescent="0.2">
      <c r="A196" s="90" t="s">
        <v>315</v>
      </c>
      <c r="B196" s="74" t="s">
        <v>346</v>
      </c>
      <c r="C196" s="81">
        <f t="shared" si="0"/>
        <v>14741.395999999999</v>
      </c>
    </row>
    <row r="197" spans="1:3" x14ac:dyDescent="0.2">
      <c r="A197" s="90" t="s">
        <v>315</v>
      </c>
      <c r="B197" s="74" t="s">
        <v>346</v>
      </c>
      <c r="C197" s="81">
        <f t="shared" si="0"/>
        <v>14741.395999999999</v>
      </c>
    </row>
    <row r="198" spans="1:3" x14ac:dyDescent="0.2">
      <c r="A198" s="90" t="s">
        <v>315</v>
      </c>
      <c r="B198" s="74" t="s">
        <v>346</v>
      </c>
      <c r="C198" s="81">
        <f t="shared" si="0"/>
        <v>14741.395999999999</v>
      </c>
    </row>
    <row r="199" spans="1:3" x14ac:dyDescent="0.2">
      <c r="A199" s="90" t="s">
        <v>315</v>
      </c>
      <c r="B199" s="74" t="s">
        <v>346</v>
      </c>
      <c r="C199" s="81">
        <f t="shared" si="0"/>
        <v>14741.395999999999</v>
      </c>
    </row>
    <row r="200" spans="1:3" x14ac:dyDescent="0.2">
      <c r="A200" s="90" t="s">
        <v>315</v>
      </c>
      <c r="B200" s="74" t="s">
        <v>346</v>
      </c>
      <c r="C200" s="81">
        <f t="shared" si="0"/>
        <v>14741.395999999999</v>
      </c>
    </row>
    <row r="201" spans="1:3" x14ac:dyDescent="0.2">
      <c r="A201" s="90" t="s">
        <v>315</v>
      </c>
      <c r="B201" s="74" t="s">
        <v>346</v>
      </c>
      <c r="C201" s="81">
        <f t="shared" si="0"/>
        <v>14741.395999999999</v>
      </c>
    </row>
    <row r="202" spans="1:3" x14ac:dyDescent="0.2">
      <c r="A202" s="90" t="s">
        <v>315</v>
      </c>
      <c r="B202" s="74" t="s">
        <v>346</v>
      </c>
      <c r="C202" s="81">
        <f t="shared" si="0"/>
        <v>14741.395999999999</v>
      </c>
    </row>
    <row r="203" spans="1:3" x14ac:dyDescent="0.2">
      <c r="A203" s="90" t="s">
        <v>315</v>
      </c>
      <c r="B203" s="74" t="s">
        <v>346</v>
      </c>
      <c r="C203" s="81">
        <f t="shared" si="0"/>
        <v>14741.395999999999</v>
      </c>
    </row>
    <row r="204" spans="1:3" x14ac:dyDescent="0.2">
      <c r="A204" s="90" t="s">
        <v>315</v>
      </c>
      <c r="B204" s="74" t="s">
        <v>346</v>
      </c>
      <c r="C204" s="81">
        <f t="shared" si="0"/>
        <v>14741.395999999999</v>
      </c>
    </row>
    <row r="205" spans="1:3" x14ac:dyDescent="0.2">
      <c r="A205" s="90" t="s">
        <v>315</v>
      </c>
      <c r="B205" s="74" t="s">
        <v>346</v>
      </c>
      <c r="C205" s="81">
        <f t="shared" si="0"/>
        <v>14741.395999999999</v>
      </c>
    </row>
    <row r="206" spans="1:3" x14ac:dyDescent="0.2">
      <c r="A206" s="90" t="s">
        <v>315</v>
      </c>
      <c r="B206" s="74" t="s">
        <v>346</v>
      </c>
      <c r="C206" s="81">
        <f t="shared" si="0"/>
        <v>14741.395999999999</v>
      </c>
    </row>
    <row r="207" spans="1:3" x14ac:dyDescent="0.2">
      <c r="A207" s="90" t="s">
        <v>315</v>
      </c>
      <c r="B207" s="74" t="s">
        <v>346</v>
      </c>
      <c r="C207" s="81">
        <f t="shared" si="0"/>
        <v>14741.395999999999</v>
      </c>
    </row>
    <row r="208" spans="1:3" x14ac:dyDescent="0.2">
      <c r="A208" s="90" t="s">
        <v>315</v>
      </c>
      <c r="B208" s="74" t="s">
        <v>346</v>
      </c>
      <c r="C208" s="81">
        <f t="shared" si="0"/>
        <v>14741.395999999999</v>
      </c>
    </row>
    <row r="209" spans="1:3" x14ac:dyDescent="0.2">
      <c r="A209" s="90" t="s">
        <v>315</v>
      </c>
      <c r="B209" s="74" t="s">
        <v>346</v>
      </c>
      <c r="C209" s="81">
        <f t="shared" si="0"/>
        <v>14741.395999999999</v>
      </c>
    </row>
    <row r="210" spans="1:3" x14ac:dyDescent="0.2">
      <c r="A210" s="90" t="s">
        <v>315</v>
      </c>
      <c r="B210" s="74" t="s">
        <v>346</v>
      </c>
      <c r="C210" s="81">
        <f t="shared" si="0"/>
        <v>14741.395999999999</v>
      </c>
    </row>
    <row r="211" spans="1:3" x14ac:dyDescent="0.2">
      <c r="A211" s="90" t="s">
        <v>315</v>
      </c>
      <c r="B211" s="74" t="s">
        <v>346</v>
      </c>
      <c r="C211" s="81">
        <f t="shared" si="0"/>
        <v>14741.395999999999</v>
      </c>
    </row>
    <row r="212" spans="1:3" x14ac:dyDescent="0.2">
      <c r="A212" s="90" t="s">
        <v>315</v>
      </c>
      <c r="B212" s="74" t="s">
        <v>346</v>
      </c>
      <c r="C212" s="81">
        <f t="shared" si="0"/>
        <v>14741.395999999999</v>
      </c>
    </row>
    <row r="213" spans="1:3" x14ac:dyDescent="0.2">
      <c r="A213" s="90" t="s">
        <v>315</v>
      </c>
      <c r="B213" s="74" t="s">
        <v>346</v>
      </c>
      <c r="C213" s="81">
        <f t="shared" si="0"/>
        <v>14741.395999999999</v>
      </c>
    </row>
    <row r="214" spans="1:3" x14ac:dyDescent="0.2">
      <c r="A214" s="90" t="s">
        <v>315</v>
      </c>
      <c r="B214" s="74" t="s">
        <v>346</v>
      </c>
      <c r="C214" s="81">
        <f t="shared" si="0"/>
        <v>14741.395999999999</v>
      </c>
    </row>
    <row r="215" spans="1:3" x14ac:dyDescent="0.2">
      <c r="A215" s="90" t="s">
        <v>315</v>
      </c>
      <c r="B215" s="74" t="s">
        <v>346</v>
      </c>
      <c r="C215" s="81">
        <f t="shared" si="0"/>
        <v>14741.395999999999</v>
      </c>
    </row>
    <row r="216" spans="1:3" x14ac:dyDescent="0.2">
      <c r="A216" s="90" t="s">
        <v>315</v>
      </c>
      <c r="B216" s="74" t="s">
        <v>346</v>
      </c>
      <c r="C216" s="81">
        <f t="shared" si="0"/>
        <v>14741.395999999999</v>
      </c>
    </row>
    <row r="217" spans="1:3" x14ac:dyDescent="0.2">
      <c r="A217" s="90" t="s">
        <v>315</v>
      </c>
      <c r="B217" s="74" t="s">
        <v>346</v>
      </c>
      <c r="C217" s="81">
        <f t="shared" si="0"/>
        <v>14741.395999999999</v>
      </c>
    </row>
    <row r="218" spans="1:3" ht="25.5" x14ac:dyDescent="0.2">
      <c r="A218" s="90" t="s">
        <v>315</v>
      </c>
      <c r="B218" s="74" t="s">
        <v>370</v>
      </c>
      <c r="C218" s="81">
        <f>12708.1*1.16</f>
        <v>14741.395999999999</v>
      </c>
    </row>
    <row r="219" spans="1:3" x14ac:dyDescent="0.2">
      <c r="A219" s="90" t="s">
        <v>315</v>
      </c>
      <c r="B219" s="74" t="s">
        <v>346</v>
      </c>
      <c r="C219" s="81">
        <f t="shared" si="0"/>
        <v>14741.395999999999</v>
      </c>
    </row>
    <row r="220" spans="1:3" x14ac:dyDescent="0.2">
      <c r="A220" s="90" t="s">
        <v>315</v>
      </c>
      <c r="B220" s="74" t="s">
        <v>346</v>
      </c>
      <c r="C220" s="81">
        <f t="shared" si="0"/>
        <v>14741.395999999999</v>
      </c>
    </row>
    <row r="221" spans="1:3" x14ac:dyDescent="0.2">
      <c r="A221" s="90" t="s">
        <v>315</v>
      </c>
      <c r="B221" s="74" t="s">
        <v>346</v>
      </c>
      <c r="C221" s="81">
        <f t="shared" si="0"/>
        <v>14741.395999999999</v>
      </c>
    </row>
    <row r="222" spans="1:3" x14ac:dyDescent="0.2">
      <c r="A222" s="90" t="s">
        <v>315</v>
      </c>
      <c r="B222" s="74" t="s">
        <v>346</v>
      </c>
      <c r="C222" s="81">
        <f t="shared" si="0"/>
        <v>14741.395999999999</v>
      </c>
    </row>
    <row r="223" spans="1:3" x14ac:dyDescent="0.2">
      <c r="A223" s="90" t="s">
        <v>315</v>
      </c>
      <c r="B223" s="74" t="s">
        <v>346</v>
      </c>
      <c r="C223" s="81">
        <f t="shared" si="0"/>
        <v>14741.395999999999</v>
      </c>
    </row>
    <row r="224" spans="1:3" x14ac:dyDescent="0.2">
      <c r="A224" s="90" t="s">
        <v>315</v>
      </c>
      <c r="B224" s="74" t="s">
        <v>346</v>
      </c>
      <c r="C224" s="81">
        <f t="shared" si="0"/>
        <v>14741.395999999999</v>
      </c>
    </row>
    <row r="225" spans="1:3" x14ac:dyDescent="0.2">
      <c r="A225" s="90" t="s">
        <v>315</v>
      </c>
      <c r="B225" s="74" t="s">
        <v>346</v>
      </c>
      <c r="C225" s="81">
        <f t="shared" si="0"/>
        <v>14741.395999999999</v>
      </c>
    </row>
    <row r="226" spans="1:3" x14ac:dyDescent="0.2">
      <c r="A226" s="90" t="s">
        <v>315</v>
      </c>
      <c r="B226" s="74" t="s">
        <v>346</v>
      </c>
      <c r="C226" s="81">
        <f>12708.1*1.16</f>
        <v>14741.395999999999</v>
      </c>
    </row>
    <row r="227" spans="1:3" x14ac:dyDescent="0.2">
      <c r="A227" s="90" t="s">
        <v>315</v>
      </c>
      <c r="B227" s="74" t="s">
        <v>346</v>
      </c>
      <c r="C227" s="81">
        <f t="shared" si="0"/>
        <v>14741.395999999999</v>
      </c>
    </row>
    <row r="228" spans="1:3" x14ac:dyDescent="0.2">
      <c r="A228" s="90" t="s">
        <v>315</v>
      </c>
      <c r="B228" s="74" t="s">
        <v>346</v>
      </c>
      <c r="C228" s="81">
        <f t="shared" si="0"/>
        <v>14741.395999999999</v>
      </c>
    </row>
    <row r="229" spans="1:3" x14ac:dyDescent="0.2">
      <c r="A229" s="90" t="s">
        <v>315</v>
      </c>
      <c r="B229" s="74" t="s">
        <v>346</v>
      </c>
      <c r="C229" s="81">
        <f t="shared" si="0"/>
        <v>14741.395999999999</v>
      </c>
    </row>
    <row r="230" spans="1:3" x14ac:dyDescent="0.2">
      <c r="A230" s="90" t="s">
        <v>315</v>
      </c>
      <c r="B230" s="74" t="s">
        <v>346</v>
      </c>
      <c r="C230" s="81">
        <f t="shared" si="0"/>
        <v>14741.395999999999</v>
      </c>
    </row>
    <row r="231" spans="1:3" x14ac:dyDescent="0.2">
      <c r="A231" s="90" t="s">
        <v>315</v>
      </c>
      <c r="B231" s="74" t="s">
        <v>346</v>
      </c>
      <c r="C231" s="81">
        <f t="shared" si="0"/>
        <v>14741.395999999999</v>
      </c>
    </row>
    <row r="232" spans="1:3" x14ac:dyDescent="0.2">
      <c r="A232" s="90" t="s">
        <v>315</v>
      </c>
      <c r="B232" s="74" t="s">
        <v>346</v>
      </c>
      <c r="C232" s="81">
        <f t="shared" si="0"/>
        <v>14741.395999999999</v>
      </c>
    </row>
    <row r="233" spans="1:3" x14ac:dyDescent="0.2">
      <c r="A233" s="90" t="s">
        <v>315</v>
      </c>
      <c r="B233" s="74" t="s">
        <v>346</v>
      </c>
      <c r="C233" s="81">
        <f t="shared" si="0"/>
        <v>14741.395999999999</v>
      </c>
    </row>
    <row r="234" spans="1:3" x14ac:dyDescent="0.2">
      <c r="A234" s="90" t="s">
        <v>315</v>
      </c>
      <c r="B234" s="74" t="s">
        <v>346</v>
      </c>
      <c r="C234" s="81">
        <f t="shared" si="0"/>
        <v>14741.395999999999</v>
      </c>
    </row>
    <row r="235" spans="1:3" x14ac:dyDescent="0.2">
      <c r="A235" s="90" t="s">
        <v>315</v>
      </c>
      <c r="B235" s="74" t="s">
        <v>346</v>
      </c>
      <c r="C235" s="81">
        <f t="shared" si="0"/>
        <v>14741.395999999999</v>
      </c>
    </row>
    <row r="236" spans="1:3" x14ac:dyDescent="0.2">
      <c r="A236" s="90" t="s">
        <v>315</v>
      </c>
      <c r="B236" s="74" t="s">
        <v>364</v>
      </c>
      <c r="C236" s="81">
        <f>13475.86*1.16</f>
        <v>15631.997599999999</v>
      </c>
    </row>
    <row r="237" spans="1:3" x14ac:dyDescent="0.2">
      <c r="A237" s="90" t="s">
        <v>315</v>
      </c>
      <c r="B237" s="74" t="s">
        <v>364</v>
      </c>
      <c r="C237" s="81">
        <f>13475.86*1.16</f>
        <v>15631.997599999999</v>
      </c>
    </row>
    <row r="238" spans="1:3" x14ac:dyDescent="0.2">
      <c r="A238" s="90" t="s">
        <v>315</v>
      </c>
      <c r="B238" s="74" t="s">
        <v>371</v>
      </c>
      <c r="C238" s="81">
        <f>12815.87*1.16</f>
        <v>14866.4092</v>
      </c>
    </row>
    <row r="239" spans="1:3" x14ac:dyDescent="0.2">
      <c r="A239" s="90" t="s">
        <v>315</v>
      </c>
      <c r="B239" s="74" t="s">
        <v>371</v>
      </c>
      <c r="C239" s="81">
        <f>12815.87*1.16</f>
        <v>14866.4092</v>
      </c>
    </row>
    <row r="240" spans="1:3" x14ac:dyDescent="0.2">
      <c r="A240" s="90" t="s">
        <v>315</v>
      </c>
      <c r="B240" s="74" t="s">
        <v>372</v>
      </c>
      <c r="C240" s="81">
        <v>5098</v>
      </c>
    </row>
    <row r="241" spans="1:3" x14ac:dyDescent="0.2">
      <c r="A241" s="90" t="s">
        <v>315</v>
      </c>
      <c r="B241" s="74" t="s">
        <v>373</v>
      </c>
      <c r="C241" s="81">
        <v>200000</v>
      </c>
    </row>
    <row r="242" spans="1:3" x14ac:dyDescent="0.2">
      <c r="A242" s="90" t="s">
        <v>315</v>
      </c>
      <c r="B242" s="74" t="s">
        <v>374</v>
      </c>
      <c r="C242" s="81">
        <v>42750</v>
      </c>
    </row>
    <row r="243" spans="1:3" ht="25.5" x14ac:dyDescent="0.2">
      <c r="A243" s="90" t="s">
        <v>315</v>
      </c>
      <c r="B243" s="74" t="s">
        <v>375</v>
      </c>
      <c r="C243" s="81">
        <v>52000</v>
      </c>
    </row>
    <row r="244" spans="1:3" ht="25.5" x14ac:dyDescent="0.2">
      <c r="A244" s="90" t="s">
        <v>315</v>
      </c>
      <c r="B244" s="74" t="s">
        <v>376</v>
      </c>
      <c r="C244" s="81">
        <f t="shared" ref="C244:C252" si="1">11750*1.16</f>
        <v>13629.999999999998</v>
      </c>
    </row>
    <row r="245" spans="1:3" ht="25.5" x14ac:dyDescent="0.2">
      <c r="A245" s="90" t="s">
        <v>315</v>
      </c>
      <c r="B245" s="74" t="s">
        <v>377</v>
      </c>
      <c r="C245" s="81">
        <f t="shared" si="1"/>
        <v>13629.999999999998</v>
      </c>
    </row>
    <row r="246" spans="1:3" ht="25.5" x14ac:dyDescent="0.2">
      <c r="A246" s="90" t="s">
        <v>315</v>
      </c>
      <c r="B246" s="74" t="s">
        <v>378</v>
      </c>
      <c r="C246" s="81">
        <f t="shared" si="1"/>
        <v>13629.999999999998</v>
      </c>
    </row>
    <row r="247" spans="1:3" ht="25.5" x14ac:dyDescent="0.2">
      <c r="A247" s="90" t="s">
        <v>315</v>
      </c>
      <c r="B247" s="74" t="s">
        <v>378</v>
      </c>
      <c r="C247" s="81">
        <f t="shared" si="1"/>
        <v>13629.999999999998</v>
      </c>
    </row>
    <row r="248" spans="1:3" ht="15.95" customHeight="1" x14ac:dyDescent="0.2">
      <c r="A248" s="90" t="s">
        <v>315</v>
      </c>
      <c r="B248" s="74" t="s">
        <v>379</v>
      </c>
      <c r="C248" s="81">
        <f t="shared" si="1"/>
        <v>13629.999999999998</v>
      </c>
    </row>
    <row r="249" spans="1:3" x14ac:dyDescent="0.2">
      <c r="A249" s="90" t="s">
        <v>315</v>
      </c>
      <c r="B249" s="74" t="s">
        <v>346</v>
      </c>
      <c r="C249" s="81">
        <f t="shared" si="1"/>
        <v>13629.999999999998</v>
      </c>
    </row>
    <row r="250" spans="1:3" x14ac:dyDescent="0.2">
      <c r="A250" s="90" t="s">
        <v>315</v>
      </c>
      <c r="B250" s="74" t="s">
        <v>346</v>
      </c>
      <c r="C250" s="81">
        <f t="shared" si="1"/>
        <v>13629.999999999998</v>
      </c>
    </row>
    <row r="251" spans="1:3" x14ac:dyDescent="0.2">
      <c r="A251" s="90" t="s">
        <v>315</v>
      </c>
      <c r="B251" s="74" t="s">
        <v>346</v>
      </c>
      <c r="C251" s="81">
        <f t="shared" si="1"/>
        <v>13629.999999999998</v>
      </c>
    </row>
    <row r="252" spans="1:3" x14ac:dyDescent="0.2">
      <c r="A252" s="90" t="s">
        <v>315</v>
      </c>
      <c r="B252" s="74" t="s">
        <v>346</v>
      </c>
      <c r="C252" s="81">
        <f t="shared" si="1"/>
        <v>13629.999999999998</v>
      </c>
    </row>
    <row r="253" spans="1:3" ht="63.75" x14ac:dyDescent="0.2">
      <c r="A253" s="90" t="s">
        <v>315</v>
      </c>
      <c r="B253" s="74" t="s">
        <v>380</v>
      </c>
      <c r="C253" s="81">
        <v>32069.429599999999</v>
      </c>
    </row>
    <row r="254" spans="1:3" ht="63.75" x14ac:dyDescent="0.2">
      <c r="A254" s="90" t="s">
        <v>315</v>
      </c>
      <c r="B254" s="74" t="s">
        <v>380</v>
      </c>
      <c r="C254" s="81">
        <v>32069.429599999999</v>
      </c>
    </row>
    <row r="255" spans="1:3" ht="63.75" x14ac:dyDescent="0.2">
      <c r="A255" s="90" t="s">
        <v>315</v>
      </c>
      <c r="B255" s="74" t="s">
        <v>380</v>
      </c>
      <c r="C255" s="81">
        <v>32069.429599999999</v>
      </c>
    </row>
    <row r="256" spans="1:3" ht="63.75" x14ac:dyDescent="0.2">
      <c r="A256" s="90" t="s">
        <v>315</v>
      </c>
      <c r="B256" s="74" t="s">
        <v>380</v>
      </c>
      <c r="C256" s="81">
        <v>32069.429599999999</v>
      </c>
    </row>
    <row r="257" spans="1:3" ht="63.75" x14ac:dyDescent="0.2">
      <c r="A257" s="90" t="s">
        <v>315</v>
      </c>
      <c r="B257" s="74" t="s">
        <v>380</v>
      </c>
      <c r="C257" s="81">
        <v>32069.429599999999</v>
      </c>
    </row>
    <row r="258" spans="1:3" ht="63.75" x14ac:dyDescent="0.2">
      <c r="A258" s="90" t="s">
        <v>315</v>
      </c>
      <c r="B258" s="74" t="s">
        <v>380</v>
      </c>
      <c r="C258" s="81">
        <v>32069.429599999999</v>
      </c>
    </row>
    <row r="259" spans="1:3" ht="63.75" x14ac:dyDescent="0.2">
      <c r="A259" s="90" t="s">
        <v>315</v>
      </c>
      <c r="B259" s="74" t="s">
        <v>380</v>
      </c>
      <c r="C259" s="81">
        <v>32069.429599999999</v>
      </c>
    </row>
    <row r="260" spans="1:3" ht="63.75" x14ac:dyDescent="0.2">
      <c r="A260" s="90" t="s">
        <v>315</v>
      </c>
      <c r="B260" s="74" t="s">
        <v>380</v>
      </c>
      <c r="C260" s="81">
        <v>32069.429599999999</v>
      </c>
    </row>
    <row r="261" spans="1:3" ht="63.75" x14ac:dyDescent="0.2">
      <c r="A261" s="90" t="s">
        <v>315</v>
      </c>
      <c r="B261" s="74" t="s">
        <v>380</v>
      </c>
      <c r="C261" s="81">
        <v>32069.429599999999</v>
      </c>
    </row>
    <row r="262" spans="1:3" ht="63.75" x14ac:dyDescent="0.2">
      <c r="A262" s="90" t="s">
        <v>315</v>
      </c>
      <c r="B262" s="74" t="s">
        <v>380</v>
      </c>
      <c r="C262" s="81">
        <v>32069.429599999999</v>
      </c>
    </row>
    <row r="263" spans="1:3" ht="63.75" x14ac:dyDescent="0.2">
      <c r="A263" s="90" t="s">
        <v>315</v>
      </c>
      <c r="B263" s="74" t="s">
        <v>380</v>
      </c>
      <c r="C263" s="81">
        <v>32069.429599999999</v>
      </c>
    </row>
    <row r="264" spans="1:3" ht="63.75" x14ac:dyDescent="0.2">
      <c r="A264" s="90" t="s">
        <v>315</v>
      </c>
      <c r="B264" s="74" t="s">
        <v>380</v>
      </c>
      <c r="C264" s="81">
        <v>32069.429599999999</v>
      </c>
    </row>
    <row r="265" spans="1:3" ht="63.75" x14ac:dyDescent="0.2">
      <c r="A265" s="90" t="s">
        <v>315</v>
      </c>
      <c r="B265" s="74" t="s">
        <v>380</v>
      </c>
      <c r="C265" s="81">
        <v>32069.429599999999</v>
      </c>
    </row>
    <row r="266" spans="1:3" ht="63.75" x14ac:dyDescent="0.2">
      <c r="A266" s="90" t="s">
        <v>315</v>
      </c>
      <c r="B266" s="74" t="s">
        <v>380</v>
      </c>
      <c r="C266" s="81">
        <v>32069.429599999999</v>
      </c>
    </row>
    <row r="267" spans="1:3" ht="63.75" x14ac:dyDescent="0.2">
      <c r="A267" s="90" t="s">
        <v>315</v>
      </c>
      <c r="B267" s="74" t="s">
        <v>380</v>
      </c>
      <c r="C267" s="81">
        <v>32069.429599999999</v>
      </c>
    </row>
    <row r="268" spans="1:3" ht="63.75" x14ac:dyDescent="0.2">
      <c r="A268" s="90" t="s">
        <v>315</v>
      </c>
      <c r="B268" s="74" t="s">
        <v>380</v>
      </c>
      <c r="C268" s="81">
        <v>32069.429599999999</v>
      </c>
    </row>
    <row r="269" spans="1:3" ht="63.75" x14ac:dyDescent="0.2">
      <c r="A269" s="90" t="s">
        <v>315</v>
      </c>
      <c r="B269" s="74" t="s">
        <v>380</v>
      </c>
      <c r="C269" s="81">
        <v>32069.429599999999</v>
      </c>
    </row>
    <row r="270" spans="1:3" ht="63.75" x14ac:dyDescent="0.2">
      <c r="A270" s="90" t="s">
        <v>315</v>
      </c>
      <c r="B270" s="74" t="s">
        <v>380</v>
      </c>
      <c r="C270" s="81">
        <v>32069.429599999999</v>
      </c>
    </row>
    <row r="271" spans="1:3" ht="63.75" x14ac:dyDescent="0.2">
      <c r="A271" s="90" t="s">
        <v>315</v>
      </c>
      <c r="B271" s="74" t="s">
        <v>380</v>
      </c>
      <c r="C271" s="81">
        <v>32069.429599999999</v>
      </c>
    </row>
    <row r="272" spans="1:3" ht="63.75" x14ac:dyDescent="0.2">
      <c r="A272" s="90" t="s">
        <v>315</v>
      </c>
      <c r="B272" s="74" t="s">
        <v>380</v>
      </c>
      <c r="C272" s="81">
        <v>32069.429599999999</v>
      </c>
    </row>
    <row r="273" spans="1:3" ht="63.75" x14ac:dyDescent="0.2">
      <c r="A273" s="90" t="s">
        <v>315</v>
      </c>
      <c r="B273" s="74" t="s">
        <v>380</v>
      </c>
      <c r="C273" s="81">
        <v>32069.429599999999</v>
      </c>
    </row>
    <row r="274" spans="1:3" ht="63.75" x14ac:dyDescent="0.2">
      <c r="A274" s="90" t="s">
        <v>315</v>
      </c>
      <c r="B274" s="74" t="s">
        <v>380</v>
      </c>
      <c r="C274" s="81">
        <v>32069.429599999999</v>
      </c>
    </row>
    <row r="275" spans="1:3" ht="63.75" x14ac:dyDescent="0.2">
      <c r="A275" s="90" t="s">
        <v>315</v>
      </c>
      <c r="B275" s="74" t="s">
        <v>380</v>
      </c>
      <c r="C275" s="81">
        <v>32069.429599999999</v>
      </c>
    </row>
    <row r="276" spans="1:3" ht="63.75" x14ac:dyDescent="0.2">
      <c r="A276" s="90" t="s">
        <v>315</v>
      </c>
      <c r="B276" s="74" t="s">
        <v>380</v>
      </c>
      <c r="C276" s="81">
        <v>32069.429599999999</v>
      </c>
    </row>
    <row r="277" spans="1:3" ht="63.75" x14ac:dyDescent="0.2">
      <c r="A277" s="90" t="s">
        <v>315</v>
      </c>
      <c r="B277" s="74" t="s">
        <v>380</v>
      </c>
      <c r="C277" s="81">
        <v>32069.429599999999</v>
      </c>
    </row>
    <row r="278" spans="1:3" ht="63.75" x14ac:dyDescent="0.2">
      <c r="A278" s="90" t="s">
        <v>315</v>
      </c>
      <c r="B278" s="74" t="s">
        <v>380</v>
      </c>
      <c r="C278" s="81">
        <v>32069.429599999999</v>
      </c>
    </row>
    <row r="279" spans="1:3" ht="63.75" x14ac:dyDescent="0.2">
      <c r="A279" s="90" t="s">
        <v>315</v>
      </c>
      <c r="B279" s="74" t="s">
        <v>380</v>
      </c>
      <c r="C279" s="81">
        <v>32069.429599999999</v>
      </c>
    </row>
    <row r="280" spans="1:3" ht="63.75" x14ac:dyDescent="0.2">
      <c r="A280" s="90" t="s">
        <v>315</v>
      </c>
      <c r="B280" s="74" t="s">
        <v>380</v>
      </c>
      <c r="C280" s="81">
        <v>32069.429599999999</v>
      </c>
    </row>
    <row r="281" spans="1:3" ht="25.5" x14ac:dyDescent="0.2">
      <c r="A281" s="90" t="s">
        <v>315</v>
      </c>
      <c r="B281" s="74" t="s">
        <v>381</v>
      </c>
      <c r="C281" s="81">
        <f>17241.38*1.16</f>
        <v>20000.000800000002</v>
      </c>
    </row>
    <row r="282" spans="1:3" ht="25.5" x14ac:dyDescent="0.2">
      <c r="A282" s="90" t="s">
        <v>315</v>
      </c>
      <c r="B282" s="74" t="s">
        <v>381</v>
      </c>
      <c r="C282" s="81">
        <f>17241.38*1.16</f>
        <v>20000.000800000002</v>
      </c>
    </row>
    <row r="283" spans="1:3" ht="76.5" x14ac:dyDescent="0.2">
      <c r="A283" s="90" t="s">
        <v>315</v>
      </c>
      <c r="B283" s="74" t="s">
        <v>382</v>
      </c>
      <c r="C283" s="81">
        <f>1034.49*1.16</f>
        <v>1200.0083999999999</v>
      </c>
    </row>
    <row r="284" spans="1:3" ht="76.5" x14ac:dyDescent="0.2">
      <c r="A284" s="90" t="s">
        <v>315</v>
      </c>
      <c r="B284" s="74" t="s">
        <v>382</v>
      </c>
      <c r="C284" s="81">
        <f>1034.49*1.16</f>
        <v>1200.0083999999999</v>
      </c>
    </row>
    <row r="285" spans="1:3" ht="76.5" x14ac:dyDescent="0.2">
      <c r="A285" s="90" t="s">
        <v>315</v>
      </c>
      <c r="B285" s="74" t="s">
        <v>382</v>
      </c>
      <c r="C285" s="81">
        <f>1034.49*1.16</f>
        <v>1200.0083999999999</v>
      </c>
    </row>
    <row r="286" spans="1:3" ht="25.5" x14ac:dyDescent="0.2">
      <c r="A286" s="90" t="s">
        <v>315</v>
      </c>
      <c r="B286" s="74" t="s">
        <v>383</v>
      </c>
      <c r="C286" s="81">
        <f>21788.8*1.16</f>
        <v>25275.007999999998</v>
      </c>
    </row>
    <row r="287" spans="1:3" ht="25.5" x14ac:dyDescent="0.2">
      <c r="A287" s="90" t="s">
        <v>315</v>
      </c>
      <c r="B287" s="74" t="s">
        <v>383</v>
      </c>
      <c r="C287" s="81">
        <f>21788.8*1.16</f>
        <v>25275.007999999998</v>
      </c>
    </row>
    <row r="288" spans="1:3" ht="25.5" x14ac:dyDescent="0.2">
      <c r="A288" s="90" t="s">
        <v>315</v>
      </c>
      <c r="B288" s="74" t="s">
        <v>383</v>
      </c>
      <c r="C288" s="81">
        <f>21788.8*1.16</f>
        <v>25275.007999999998</v>
      </c>
    </row>
    <row r="289" spans="1:3" ht="25.5" x14ac:dyDescent="0.2">
      <c r="A289" s="90" t="s">
        <v>315</v>
      </c>
      <c r="B289" s="74" t="s">
        <v>383</v>
      </c>
      <c r="C289" s="81">
        <f>21788.8*1.16</f>
        <v>25275.007999999998</v>
      </c>
    </row>
    <row r="290" spans="1:3" ht="38.25" x14ac:dyDescent="0.2">
      <c r="A290" s="90" t="s">
        <v>315</v>
      </c>
      <c r="B290" s="74" t="s">
        <v>384</v>
      </c>
      <c r="C290" s="81">
        <f>17241.38*1.16</f>
        <v>20000.000800000002</v>
      </c>
    </row>
    <row r="291" spans="1:3" ht="38.25" x14ac:dyDescent="0.2">
      <c r="A291" s="90" t="s">
        <v>315</v>
      </c>
      <c r="B291" s="74" t="s">
        <v>385</v>
      </c>
      <c r="C291" s="81">
        <f>51724.14*1.16</f>
        <v>60000.002399999998</v>
      </c>
    </row>
    <row r="292" spans="1:3" ht="64.5" customHeight="1" x14ac:dyDescent="0.2">
      <c r="A292" s="90" t="s">
        <v>315</v>
      </c>
      <c r="B292" s="74" t="s">
        <v>386</v>
      </c>
      <c r="C292" s="81">
        <v>631778</v>
      </c>
    </row>
    <row r="293" spans="1:3" ht="38.25" x14ac:dyDescent="0.2">
      <c r="A293" s="90" t="s">
        <v>315</v>
      </c>
      <c r="B293" s="74" t="s">
        <v>387</v>
      </c>
      <c r="C293" s="81">
        <v>17400</v>
      </c>
    </row>
    <row r="294" spans="1:3" ht="51" x14ac:dyDescent="0.2">
      <c r="A294" s="90" t="s">
        <v>315</v>
      </c>
      <c r="B294" s="74" t="s">
        <v>388</v>
      </c>
      <c r="C294" s="81">
        <f>402355*1.16-30000</f>
        <v>436731.8</v>
      </c>
    </row>
    <row r="295" spans="1:3" x14ac:dyDescent="0.2">
      <c r="A295" s="90" t="s">
        <v>315</v>
      </c>
      <c r="B295" s="74" t="s">
        <v>389</v>
      </c>
      <c r="C295" s="81">
        <f>178684*1.16</f>
        <v>207273.43999999997</v>
      </c>
    </row>
    <row r="296" spans="1:3" ht="15.95" customHeight="1" x14ac:dyDescent="0.2">
      <c r="A296" s="90" t="s">
        <v>315</v>
      </c>
      <c r="B296" s="74" t="s">
        <v>390</v>
      </c>
      <c r="C296" s="81">
        <f>43233*1.16</f>
        <v>50150.28</v>
      </c>
    </row>
    <row r="297" spans="1:3" x14ac:dyDescent="0.2">
      <c r="A297" s="90" t="s">
        <v>315</v>
      </c>
      <c r="B297" s="74" t="s">
        <v>391</v>
      </c>
      <c r="C297" s="81">
        <f>31775*1.16</f>
        <v>36859</v>
      </c>
    </row>
    <row r="298" spans="1:3" x14ac:dyDescent="0.2">
      <c r="A298" s="90" t="s">
        <v>315</v>
      </c>
      <c r="B298" s="74" t="s">
        <v>392</v>
      </c>
      <c r="C298" s="81">
        <f t="shared" ref="C298:C327" si="2">18530*1.16</f>
        <v>21494.799999999999</v>
      </c>
    </row>
    <row r="299" spans="1:3" x14ac:dyDescent="0.2">
      <c r="A299" s="90" t="s">
        <v>315</v>
      </c>
      <c r="B299" s="74" t="s">
        <v>392</v>
      </c>
      <c r="C299" s="81">
        <f t="shared" si="2"/>
        <v>21494.799999999999</v>
      </c>
    </row>
    <row r="300" spans="1:3" x14ac:dyDescent="0.2">
      <c r="A300" s="90" t="s">
        <v>315</v>
      </c>
      <c r="B300" s="74" t="s">
        <v>392</v>
      </c>
      <c r="C300" s="81">
        <f t="shared" si="2"/>
        <v>21494.799999999999</v>
      </c>
    </row>
    <row r="301" spans="1:3" x14ac:dyDescent="0.2">
      <c r="A301" s="90" t="s">
        <v>315</v>
      </c>
      <c r="B301" s="74" t="s">
        <v>392</v>
      </c>
      <c r="C301" s="81">
        <f t="shared" si="2"/>
        <v>21494.799999999999</v>
      </c>
    </row>
    <row r="302" spans="1:3" x14ac:dyDescent="0.2">
      <c r="A302" s="90" t="s">
        <v>315</v>
      </c>
      <c r="B302" s="74" t="s">
        <v>392</v>
      </c>
      <c r="C302" s="81">
        <f t="shared" si="2"/>
        <v>21494.799999999999</v>
      </c>
    </row>
    <row r="303" spans="1:3" x14ac:dyDescent="0.2">
      <c r="A303" s="90" t="s">
        <v>315</v>
      </c>
      <c r="B303" s="74" t="s">
        <v>392</v>
      </c>
      <c r="C303" s="81">
        <f t="shared" si="2"/>
        <v>21494.799999999999</v>
      </c>
    </row>
    <row r="304" spans="1:3" x14ac:dyDescent="0.2">
      <c r="A304" s="90" t="s">
        <v>315</v>
      </c>
      <c r="B304" s="74" t="s">
        <v>392</v>
      </c>
      <c r="C304" s="81">
        <f t="shared" si="2"/>
        <v>21494.799999999999</v>
      </c>
    </row>
    <row r="305" spans="1:3" x14ac:dyDescent="0.2">
      <c r="A305" s="90" t="s">
        <v>315</v>
      </c>
      <c r="B305" s="74" t="s">
        <v>392</v>
      </c>
      <c r="C305" s="81">
        <f t="shared" si="2"/>
        <v>21494.799999999999</v>
      </c>
    </row>
    <row r="306" spans="1:3" x14ac:dyDescent="0.2">
      <c r="A306" s="90" t="s">
        <v>315</v>
      </c>
      <c r="B306" s="74" t="s">
        <v>392</v>
      </c>
      <c r="C306" s="81">
        <f t="shared" si="2"/>
        <v>21494.799999999999</v>
      </c>
    </row>
    <row r="307" spans="1:3" x14ac:dyDescent="0.2">
      <c r="A307" s="90" t="s">
        <v>315</v>
      </c>
      <c r="B307" s="74" t="s">
        <v>392</v>
      </c>
      <c r="C307" s="81">
        <f t="shared" si="2"/>
        <v>21494.799999999999</v>
      </c>
    </row>
    <row r="308" spans="1:3" x14ac:dyDescent="0.2">
      <c r="A308" s="90" t="s">
        <v>315</v>
      </c>
      <c r="B308" s="74" t="s">
        <v>392</v>
      </c>
      <c r="C308" s="81">
        <f t="shared" si="2"/>
        <v>21494.799999999999</v>
      </c>
    </row>
    <row r="309" spans="1:3" x14ac:dyDescent="0.2">
      <c r="A309" s="90" t="s">
        <v>315</v>
      </c>
      <c r="B309" s="74" t="s">
        <v>392</v>
      </c>
      <c r="C309" s="81">
        <f t="shared" si="2"/>
        <v>21494.799999999999</v>
      </c>
    </row>
    <row r="310" spans="1:3" x14ac:dyDescent="0.2">
      <c r="A310" s="90" t="s">
        <v>315</v>
      </c>
      <c r="B310" s="74" t="s">
        <v>392</v>
      </c>
      <c r="C310" s="81">
        <f t="shared" si="2"/>
        <v>21494.799999999999</v>
      </c>
    </row>
    <row r="311" spans="1:3" x14ac:dyDescent="0.2">
      <c r="A311" s="90" t="s">
        <v>315</v>
      </c>
      <c r="B311" s="74" t="s">
        <v>392</v>
      </c>
      <c r="C311" s="81">
        <f t="shared" si="2"/>
        <v>21494.799999999999</v>
      </c>
    </row>
    <row r="312" spans="1:3" x14ac:dyDescent="0.2">
      <c r="A312" s="90" t="s">
        <v>315</v>
      </c>
      <c r="B312" s="74" t="s">
        <v>392</v>
      </c>
      <c r="C312" s="81">
        <f t="shared" si="2"/>
        <v>21494.799999999999</v>
      </c>
    </row>
    <row r="313" spans="1:3" x14ac:dyDescent="0.2">
      <c r="A313" s="90" t="s">
        <v>315</v>
      </c>
      <c r="B313" s="74" t="s">
        <v>392</v>
      </c>
      <c r="C313" s="81">
        <f t="shared" si="2"/>
        <v>21494.799999999999</v>
      </c>
    </row>
    <row r="314" spans="1:3" x14ac:dyDescent="0.2">
      <c r="A314" s="90" t="s">
        <v>315</v>
      </c>
      <c r="B314" s="74" t="s">
        <v>392</v>
      </c>
      <c r="C314" s="81">
        <f t="shared" si="2"/>
        <v>21494.799999999999</v>
      </c>
    </row>
    <row r="315" spans="1:3" x14ac:dyDescent="0.2">
      <c r="A315" s="90" t="s">
        <v>315</v>
      </c>
      <c r="B315" s="74" t="s">
        <v>392</v>
      </c>
      <c r="C315" s="81">
        <f t="shared" si="2"/>
        <v>21494.799999999999</v>
      </c>
    </row>
    <row r="316" spans="1:3" x14ac:dyDescent="0.2">
      <c r="A316" s="90" t="s">
        <v>315</v>
      </c>
      <c r="B316" s="74" t="s">
        <v>392</v>
      </c>
      <c r="C316" s="81">
        <f t="shared" si="2"/>
        <v>21494.799999999999</v>
      </c>
    </row>
    <row r="317" spans="1:3" x14ac:dyDescent="0.2">
      <c r="A317" s="90" t="s">
        <v>315</v>
      </c>
      <c r="B317" s="74" t="s">
        <v>392</v>
      </c>
      <c r="C317" s="81">
        <f t="shared" si="2"/>
        <v>21494.799999999999</v>
      </c>
    </row>
    <row r="318" spans="1:3" x14ac:dyDescent="0.2">
      <c r="A318" s="90" t="s">
        <v>315</v>
      </c>
      <c r="B318" s="74" t="s">
        <v>392</v>
      </c>
      <c r="C318" s="81">
        <f t="shared" si="2"/>
        <v>21494.799999999999</v>
      </c>
    </row>
    <row r="319" spans="1:3" x14ac:dyDescent="0.2">
      <c r="A319" s="90" t="s">
        <v>315</v>
      </c>
      <c r="B319" s="74" t="s">
        <v>392</v>
      </c>
      <c r="C319" s="81">
        <f t="shared" si="2"/>
        <v>21494.799999999999</v>
      </c>
    </row>
    <row r="320" spans="1:3" x14ac:dyDescent="0.2">
      <c r="A320" s="90" t="s">
        <v>315</v>
      </c>
      <c r="B320" s="74" t="s">
        <v>392</v>
      </c>
      <c r="C320" s="81">
        <f t="shared" si="2"/>
        <v>21494.799999999999</v>
      </c>
    </row>
    <row r="321" spans="1:3" x14ac:dyDescent="0.2">
      <c r="A321" s="90" t="s">
        <v>315</v>
      </c>
      <c r="B321" s="74" t="s">
        <v>392</v>
      </c>
      <c r="C321" s="81">
        <f t="shared" si="2"/>
        <v>21494.799999999999</v>
      </c>
    </row>
    <row r="322" spans="1:3" x14ac:dyDescent="0.2">
      <c r="A322" s="90" t="s">
        <v>315</v>
      </c>
      <c r="B322" s="74" t="s">
        <v>392</v>
      </c>
      <c r="C322" s="81">
        <f t="shared" si="2"/>
        <v>21494.799999999999</v>
      </c>
    </row>
    <row r="323" spans="1:3" x14ac:dyDescent="0.2">
      <c r="A323" s="90" t="s">
        <v>315</v>
      </c>
      <c r="B323" s="74" t="s">
        <v>392</v>
      </c>
      <c r="C323" s="81">
        <f t="shared" si="2"/>
        <v>21494.799999999999</v>
      </c>
    </row>
    <row r="324" spans="1:3" x14ac:dyDescent="0.2">
      <c r="A324" s="90" t="s">
        <v>315</v>
      </c>
      <c r="B324" s="74" t="s">
        <v>392</v>
      </c>
      <c r="C324" s="81">
        <f t="shared" si="2"/>
        <v>21494.799999999999</v>
      </c>
    </row>
    <row r="325" spans="1:3" x14ac:dyDescent="0.2">
      <c r="A325" s="90" t="s">
        <v>315</v>
      </c>
      <c r="B325" s="74" t="s">
        <v>392</v>
      </c>
      <c r="C325" s="81">
        <f t="shared" si="2"/>
        <v>21494.799999999999</v>
      </c>
    </row>
    <row r="326" spans="1:3" x14ac:dyDescent="0.2">
      <c r="A326" s="90" t="s">
        <v>315</v>
      </c>
      <c r="B326" s="74" t="s">
        <v>392</v>
      </c>
      <c r="C326" s="81">
        <f t="shared" si="2"/>
        <v>21494.799999999999</v>
      </c>
    </row>
    <row r="327" spans="1:3" x14ac:dyDescent="0.2">
      <c r="A327" s="90" t="s">
        <v>315</v>
      </c>
      <c r="B327" s="74" t="s">
        <v>392</v>
      </c>
      <c r="C327" s="81">
        <f t="shared" si="2"/>
        <v>21494.799999999999</v>
      </c>
    </row>
    <row r="328" spans="1:3" ht="25.5" x14ac:dyDescent="0.2">
      <c r="A328" s="90" t="s">
        <v>315</v>
      </c>
      <c r="B328" s="74" t="s">
        <v>393</v>
      </c>
      <c r="C328" s="81">
        <f>27808*1.16</f>
        <v>32257.279999999999</v>
      </c>
    </row>
    <row r="329" spans="1:3" ht="51" x14ac:dyDescent="0.2">
      <c r="A329" s="90" t="s">
        <v>315</v>
      </c>
      <c r="B329" s="74" t="s">
        <v>394</v>
      </c>
      <c r="C329" s="81">
        <f>99204*1.16</f>
        <v>115076.63999999998</v>
      </c>
    </row>
    <row r="330" spans="1:3" ht="51" x14ac:dyDescent="0.2">
      <c r="A330" s="90" t="s">
        <v>315</v>
      </c>
      <c r="B330" s="74" t="s">
        <v>395</v>
      </c>
      <c r="C330" s="81">
        <f>123026*1.16</f>
        <v>142710.16</v>
      </c>
    </row>
    <row r="331" spans="1:3" x14ac:dyDescent="0.2">
      <c r="A331" s="90" t="s">
        <v>315</v>
      </c>
      <c r="B331" s="74" t="s">
        <v>396</v>
      </c>
      <c r="C331" s="81">
        <f>22270*1.16</f>
        <v>25833.199999999997</v>
      </c>
    </row>
    <row r="332" spans="1:3" ht="38.25" x14ac:dyDescent="0.2">
      <c r="A332" s="90" t="s">
        <v>315</v>
      </c>
      <c r="B332" s="74" t="s">
        <v>397</v>
      </c>
      <c r="C332" s="81">
        <f>83626*1.16</f>
        <v>97006.159999999989</v>
      </c>
    </row>
    <row r="333" spans="1:3" x14ac:dyDescent="0.2">
      <c r="A333" s="90" t="s">
        <v>315</v>
      </c>
      <c r="B333" s="74" t="s">
        <v>398</v>
      </c>
      <c r="C333" s="81">
        <f>26560*1.16</f>
        <v>30809.599999999999</v>
      </c>
    </row>
    <row r="334" spans="1:3" x14ac:dyDescent="0.2">
      <c r="A334" s="90" t="s">
        <v>315</v>
      </c>
      <c r="B334" s="74" t="s">
        <v>398</v>
      </c>
      <c r="C334" s="81">
        <f>26560*1.16</f>
        <v>30809.599999999999</v>
      </c>
    </row>
    <row r="335" spans="1:3" x14ac:dyDescent="0.2">
      <c r="A335" s="90" t="s">
        <v>315</v>
      </c>
      <c r="B335" s="74" t="s">
        <v>398</v>
      </c>
      <c r="C335" s="81">
        <f>26560*1.16</f>
        <v>30809.599999999999</v>
      </c>
    </row>
    <row r="336" spans="1:3" x14ac:dyDescent="0.2">
      <c r="A336" s="90" t="s">
        <v>315</v>
      </c>
      <c r="B336" s="74" t="s">
        <v>398</v>
      </c>
      <c r="C336" s="81">
        <f>26560*1.16</f>
        <v>30809.599999999999</v>
      </c>
    </row>
    <row r="337" spans="1:3" x14ac:dyDescent="0.2">
      <c r="A337" s="90" t="s">
        <v>315</v>
      </c>
      <c r="B337" s="74" t="s">
        <v>399</v>
      </c>
      <c r="C337" s="81">
        <f>51210*1.16</f>
        <v>59403.6</v>
      </c>
    </row>
    <row r="338" spans="1:3" x14ac:dyDescent="0.2">
      <c r="A338" s="90" t="s">
        <v>315</v>
      </c>
      <c r="B338" s="74" t="s">
        <v>399</v>
      </c>
      <c r="C338" s="81">
        <f>51210*1.16</f>
        <v>59403.6</v>
      </c>
    </row>
    <row r="339" spans="1:3" x14ac:dyDescent="0.2">
      <c r="A339" s="90" t="s">
        <v>315</v>
      </c>
      <c r="B339" s="74" t="s">
        <v>399</v>
      </c>
      <c r="C339" s="81">
        <f>51210*1.16</f>
        <v>59403.6</v>
      </c>
    </row>
    <row r="340" spans="1:3" x14ac:dyDescent="0.2">
      <c r="A340" s="90" t="s">
        <v>315</v>
      </c>
      <c r="B340" s="74" t="s">
        <v>399</v>
      </c>
      <c r="C340" s="81">
        <f>51210*1.16</f>
        <v>59403.6</v>
      </c>
    </row>
    <row r="341" spans="1:3" x14ac:dyDescent="0.2">
      <c r="A341" s="90" t="s">
        <v>315</v>
      </c>
      <c r="B341" s="74" t="s">
        <v>399</v>
      </c>
      <c r="C341" s="81">
        <f>51210*1.16</f>
        <v>59403.6</v>
      </c>
    </row>
    <row r="342" spans="1:3" x14ac:dyDescent="0.2">
      <c r="A342" s="90" t="s">
        <v>315</v>
      </c>
      <c r="B342" s="74" t="s">
        <v>400</v>
      </c>
      <c r="C342" s="81">
        <f>1839.77*1.16</f>
        <v>2134.1331999999998</v>
      </c>
    </row>
    <row r="343" spans="1:3" x14ac:dyDescent="0.2">
      <c r="A343" s="90" t="s">
        <v>315</v>
      </c>
      <c r="B343" s="74" t="s">
        <v>400</v>
      </c>
      <c r="C343" s="81">
        <f>1839.77*1.16</f>
        <v>2134.1331999999998</v>
      </c>
    </row>
    <row r="344" spans="1:3" x14ac:dyDescent="0.2">
      <c r="A344" s="90" t="s">
        <v>315</v>
      </c>
      <c r="B344" s="74" t="s">
        <v>400</v>
      </c>
      <c r="C344" s="81">
        <f>1839.77*1.16</f>
        <v>2134.1331999999998</v>
      </c>
    </row>
    <row r="345" spans="1:3" x14ac:dyDescent="0.2">
      <c r="A345" s="90" t="s">
        <v>315</v>
      </c>
      <c r="B345" s="74" t="s">
        <v>400</v>
      </c>
      <c r="C345" s="81">
        <f>1839.77*1.16</f>
        <v>2134.1331999999998</v>
      </c>
    </row>
    <row r="346" spans="1:3" x14ac:dyDescent="0.2">
      <c r="A346" s="90" t="s">
        <v>315</v>
      </c>
      <c r="B346" s="74" t="s">
        <v>400</v>
      </c>
      <c r="C346" s="81">
        <f>1839.77*1.16</f>
        <v>2134.1331999999998</v>
      </c>
    </row>
    <row r="347" spans="1:3" x14ac:dyDescent="0.2">
      <c r="A347" s="90" t="s">
        <v>315</v>
      </c>
      <c r="B347" s="74" t="s">
        <v>398</v>
      </c>
      <c r="C347" s="81">
        <f t="shared" ref="C347:C355" si="3">26560*1.16</f>
        <v>30809.599999999999</v>
      </c>
    </row>
    <row r="348" spans="1:3" x14ac:dyDescent="0.2">
      <c r="A348" s="90" t="s">
        <v>315</v>
      </c>
      <c r="B348" s="74" t="s">
        <v>398</v>
      </c>
      <c r="C348" s="81">
        <f t="shared" si="3"/>
        <v>30809.599999999999</v>
      </c>
    </row>
    <row r="349" spans="1:3" x14ac:dyDescent="0.2">
      <c r="A349" s="90" t="s">
        <v>315</v>
      </c>
      <c r="B349" s="74" t="s">
        <v>398</v>
      </c>
      <c r="C349" s="81">
        <f t="shared" si="3"/>
        <v>30809.599999999999</v>
      </c>
    </row>
    <row r="350" spans="1:3" x14ac:dyDescent="0.2">
      <c r="A350" s="90" t="s">
        <v>315</v>
      </c>
      <c r="B350" s="74" t="s">
        <v>398</v>
      </c>
      <c r="C350" s="81">
        <f t="shared" si="3"/>
        <v>30809.599999999999</v>
      </c>
    </row>
    <row r="351" spans="1:3" x14ac:dyDescent="0.2">
      <c r="A351" s="90" t="s">
        <v>315</v>
      </c>
      <c r="B351" s="74" t="s">
        <v>398</v>
      </c>
      <c r="C351" s="81">
        <f t="shared" si="3"/>
        <v>30809.599999999999</v>
      </c>
    </row>
    <row r="352" spans="1:3" x14ac:dyDescent="0.2">
      <c r="A352" s="90" t="s">
        <v>315</v>
      </c>
      <c r="B352" s="74" t="s">
        <v>398</v>
      </c>
      <c r="C352" s="81">
        <f t="shared" si="3"/>
        <v>30809.599999999999</v>
      </c>
    </row>
    <row r="353" spans="1:3" x14ac:dyDescent="0.2">
      <c r="A353" s="90" t="s">
        <v>315</v>
      </c>
      <c r="B353" s="74" t="s">
        <v>398</v>
      </c>
      <c r="C353" s="81">
        <f t="shared" si="3"/>
        <v>30809.599999999999</v>
      </c>
    </row>
    <row r="354" spans="1:3" x14ac:dyDescent="0.2">
      <c r="A354" s="90" t="s">
        <v>315</v>
      </c>
      <c r="B354" s="74" t="s">
        <v>398</v>
      </c>
      <c r="C354" s="81">
        <f t="shared" si="3"/>
        <v>30809.599999999999</v>
      </c>
    </row>
    <row r="355" spans="1:3" x14ac:dyDescent="0.2">
      <c r="A355" s="90" t="s">
        <v>315</v>
      </c>
      <c r="B355" s="74" t="s">
        <v>398</v>
      </c>
      <c r="C355" s="81">
        <f t="shared" si="3"/>
        <v>30809.599999999999</v>
      </c>
    </row>
    <row r="356" spans="1:3" x14ac:dyDescent="0.2">
      <c r="A356" s="90" t="s">
        <v>315</v>
      </c>
      <c r="B356" s="74" t="s">
        <v>399</v>
      </c>
      <c r="C356" s="81">
        <f t="shared" ref="C356:C365" si="4">51210*1.16</f>
        <v>59403.6</v>
      </c>
    </row>
    <row r="357" spans="1:3" x14ac:dyDescent="0.2">
      <c r="A357" s="90" t="s">
        <v>315</v>
      </c>
      <c r="B357" s="74" t="s">
        <v>399</v>
      </c>
      <c r="C357" s="81">
        <f t="shared" si="4"/>
        <v>59403.6</v>
      </c>
    </row>
    <row r="358" spans="1:3" x14ac:dyDescent="0.2">
      <c r="A358" s="90" t="s">
        <v>315</v>
      </c>
      <c r="B358" s="74" t="s">
        <v>399</v>
      </c>
      <c r="C358" s="81">
        <f t="shared" si="4"/>
        <v>59403.6</v>
      </c>
    </row>
    <row r="359" spans="1:3" x14ac:dyDescent="0.2">
      <c r="A359" s="90" t="s">
        <v>315</v>
      </c>
      <c r="B359" s="74" t="s">
        <v>399</v>
      </c>
      <c r="C359" s="81">
        <f t="shared" si="4"/>
        <v>59403.6</v>
      </c>
    </row>
    <row r="360" spans="1:3" x14ac:dyDescent="0.2">
      <c r="A360" s="90" t="s">
        <v>315</v>
      </c>
      <c r="B360" s="74" t="s">
        <v>399</v>
      </c>
      <c r="C360" s="81">
        <f t="shared" si="4"/>
        <v>59403.6</v>
      </c>
    </row>
    <row r="361" spans="1:3" x14ac:dyDescent="0.2">
      <c r="A361" s="90" t="s">
        <v>315</v>
      </c>
      <c r="B361" s="74" t="s">
        <v>399</v>
      </c>
      <c r="C361" s="81">
        <f t="shared" si="4"/>
        <v>59403.6</v>
      </c>
    </row>
    <row r="362" spans="1:3" x14ac:dyDescent="0.2">
      <c r="A362" s="90" t="s">
        <v>315</v>
      </c>
      <c r="B362" s="74" t="s">
        <v>399</v>
      </c>
      <c r="C362" s="81">
        <f t="shared" si="4"/>
        <v>59403.6</v>
      </c>
    </row>
    <row r="363" spans="1:3" x14ac:dyDescent="0.2">
      <c r="A363" s="90" t="s">
        <v>315</v>
      </c>
      <c r="B363" s="74" t="s">
        <v>399</v>
      </c>
      <c r="C363" s="81">
        <f t="shared" si="4"/>
        <v>59403.6</v>
      </c>
    </row>
    <row r="364" spans="1:3" x14ac:dyDescent="0.2">
      <c r="A364" s="90" t="s">
        <v>315</v>
      </c>
      <c r="B364" s="74" t="s">
        <v>399</v>
      </c>
      <c r="C364" s="81">
        <f t="shared" si="4"/>
        <v>59403.6</v>
      </c>
    </row>
    <row r="365" spans="1:3" x14ac:dyDescent="0.2">
      <c r="A365" s="90" t="s">
        <v>315</v>
      </c>
      <c r="B365" s="74" t="s">
        <v>399</v>
      </c>
      <c r="C365" s="81">
        <f t="shared" si="4"/>
        <v>59403.6</v>
      </c>
    </row>
    <row r="366" spans="1:3" x14ac:dyDescent="0.2">
      <c r="A366" s="90" t="s">
        <v>315</v>
      </c>
      <c r="B366" s="74" t="s">
        <v>400</v>
      </c>
      <c r="C366" s="81">
        <f t="shared" ref="C366:C375" si="5">1839.77*1.16</f>
        <v>2134.1331999999998</v>
      </c>
    </row>
    <row r="367" spans="1:3" x14ac:dyDescent="0.2">
      <c r="A367" s="90" t="s">
        <v>315</v>
      </c>
      <c r="B367" s="74" t="s">
        <v>400</v>
      </c>
      <c r="C367" s="81">
        <f t="shared" si="5"/>
        <v>2134.1331999999998</v>
      </c>
    </row>
    <row r="368" spans="1:3" x14ac:dyDescent="0.2">
      <c r="A368" s="90" t="s">
        <v>315</v>
      </c>
      <c r="B368" s="74" t="s">
        <v>400</v>
      </c>
      <c r="C368" s="81">
        <f t="shared" si="5"/>
        <v>2134.1331999999998</v>
      </c>
    </row>
    <row r="369" spans="1:3" x14ac:dyDescent="0.2">
      <c r="A369" s="90" t="s">
        <v>315</v>
      </c>
      <c r="B369" s="74" t="s">
        <v>400</v>
      </c>
      <c r="C369" s="81">
        <f t="shared" si="5"/>
        <v>2134.1331999999998</v>
      </c>
    </row>
    <row r="370" spans="1:3" x14ac:dyDescent="0.2">
      <c r="A370" s="90" t="s">
        <v>315</v>
      </c>
      <c r="B370" s="74" t="s">
        <v>400</v>
      </c>
      <c r="C370" s="81">
        <f t="shared" si="5"/>
        <v>2134.1331999999998</v>
      </c>
    </row>
    <row r="371" spans="1:3" x14ac:dyDescent="0.2">
      <c r="A371" s="90" t="s">
        <v>315</v>
      </c>
      <c r="B371" s="74" t="s">
        <v>400</v>
      </c>
      <c r="C371" s="81">
        <f t="shared" si="5"/>
        <v>2134.1331999999998</v>
      </c>
    </row>
    <row r="372" spans="1:3" x14ac:dyDescent="0.2">
      <c r="A372" s="90" t="s">
        <v>315</v>
      </c>
      <c r="B372" s="74" t="s">
        <v>400</v>
      </c>
      <c r="C372" s="81">
        <f t="shared" si="5"/>
        <v>2134.1331999999998</v>
      </c>
    </row>
    <row r="373" spans="1:3" x14ac:dyDescent="0.2">
      <c r="A373" s="90" t="s">
        <v>315</v>
      </c>
      <c r="B373" s="74" t="s">
        <v>400</v>
      </c>
      <c r="C373" s="81">
        <f t="shared" si="5"/>
        <v>2134.1331999999998</v>
      </c>
    </row>
    <row r="374" spans="1:3" x14ac:dyDescent="0.2">
      <c r="A374" s="90" t="s">
        <v>315</v>
      </c>
      <c r="B374" s="74" t="s">
        <v>400</v>
      </c>
      <c r="C374" s="81">
        <f t="shared" si="5"/>
        <v>2134.1331999999998</v>
      </c>
    </row>
    <row r="375" spans="1:3" x14ac:dyDescent="0.2">
      <c r="A375" s="90" t="s">
        <v>315</v>
      </c>
      <c r="B375" s="74" t="s">
        <v>400</v>
      </c>
      <c r="C375" s="81">
        <f t="shared" si="5"/>
        <v>2134.1331999999998</v>
      </c>
    </row>
    <row r="376" spans="1:3" x14ac:dyDescent="0.2">
      <c r="A376" s="90" t="s">
        <v>315</v>
      </c>
      <c r="B376" s="74" t="s">
        <v>401</v>
      </c>
      <c r="C376" s="81">
        <f t="shared" ref="C376:C395" si="6">358.93*1.16</f>
        <v>416.35879999999997</v>
      </c>
    </row>
    <row r="377" spans="1:3" x14ac:dyDescent="0.2">
      <c r="A377" s="90" t="s">
        <v>315</v>
      </c>
      <c r="B377" s="74" t="s">
        <v>401</v>
      </c>
      <c r="C377" s="81">
        <f t="shared" si="6"/>
        <v>416.35879999999997</v>
      </c>
    </row>
    <row r="378" spans="1:3" x14ac:dyDescent="0.2">
      <c r="A378" s="90" t="s">
        <v>315</v>
      </c>
      <c r="B378" s="74" t="s">
        <v>401</v>
      </c>
      <c r="C378" s="81">
        <f t="shared" si="6"/>
        <v>416.35879999999997</v>
      </c>
    </row>
    <row r="379" spans="1:3" x14ac:dyDescent="0.2">
      <c r="A379" s="90" t="s">
        <v>315</v>
      </c>
      <c r="B379" s="74" t="s">
        <v>401</v>
      </c>
      <c r="C379" s="81">
        <f t="shared" si="6"/>
        <v>416.35879999999997</v>
      </c>
    </row>
    <row r="380" spans="1:3" x14ac:dyDescent="0.2">
      <c r="A380" s="90" t="s">
        <v>315</v>
      </c>
      <c r="B380" s="74" t="s">
        <v>401</v>
      </c>
      <c r="C380" s="81">
        <f t="shared" si="6"/>
        <v>416.35879999999997</v>
      </c>
    </row>
    <row r="381" spans="1:3" x14ac:dyDescent="0.2">
      <c r="A381" s="90" t="s">
        <v>315</v>
      </c>
      <c r="B381" s="74" t="s">
        <v>401</v>
      </c>
      <c r="C381" s="81">
        <f t="shared" si="6"/>
        <v>416.35879999999997</v>
      </c>
    </row>
    <row r="382" spans="1:3" x14ac:dyDescent="0.2">
      <c r="A382" s="90" t="s">
        <v>315</v>
      </c>
      <c r="B382" s="74" t="s">
        <v>401</v>
      </c>
      <c r="C382" s="81">
        <f t="shared" si="6"/>
        <v>416.35879999999997</v>
      </c>
    </row>
    <row r="383" spans="1:3" x14ac:dyDescent="0.2">
      <c r="A383" s="90" t="s">
        <v>315</v>
      </c>
      <c r="B383" s="74" t="s">
        <v>401</v>
      </c>
      <c r="C383" s="81">
        <f t="shared" si="6"/>
        <v>416.35879999999997</v>
      </c>
    </row>
    <row r="384" spans="1:3" x14ac:dyDescent="0.2">
      <c r="A384" s="90" t="s">
        <v>315</v>
      </c>
      <c r="B384" s="74" t="s">
        <v>401</v>
      </c>
      <c r="C384" s="81">
        <f t="shared" si="6"/>
        <v>416.35879999999997</v>
      </c>
    </row>
    <row r="385" spans="1:3" x14ac:dyDescent="0.2">
      <c r="A385" s="90" t="s">
        <v>315</v>
      </c>
      <c r="B385" s="74" t="s">
        <v>401</v>
      </c>
      <c r="C385" s="81">
        <f t="shared" si="6"/>
        <v>416.35879999999997</v>
      </c>
    </row>
    <row r="386" spans="1:3" x14ac:dyDescent="0.2">
      <c r="A386" s="90" t="s">
        <v>315</v>
      </c>
      <c r="B386" s="74" t="s">
        <v>401</v>
      </c>
      <c r="C386" s="81">
        <f t="shared" si="6"/>
        <v>416.35879999999997</v>
      </c>
    </row>
    <row r="387" spans="1:3" x14ac:dyDescent="0.2">
      <c r="A387" s="90" t="s">
        <v>315</v>
      </c>
      <c r="B387" s="74" t="s">
        <v>401</v>
      </c>
      <c r="C387" s="81">
        <f t="shared" si="6"/>
        <v>416.35879999999997</v>
      </c>
    </row>
    <row r="388" spans="1:3" x14ac:dyDescent="0.2">
      <c r="A388" s="90" t="s">
        <v>315</v>
      </c>
      <c r="B388" s="74" t="s">
        <v>401</v>
      </c>
      <c r="C388" s="81">
        <f t="shared" si="6"/>
        <v>416.35879999999997</v>
      </c>
    </row>
    <row r="389" spans="1:3" x14ac:dyDescent="0.2">
      <c r="A389" s="90" t="s">
        <v>315</v>
      </c>
      <c r="B389" s="74" t="s">
        <v>401</v>
      </c>
      <c r="C389" s="81">
        <f t="shared" si="6"/>
        <v>416.35879999999997</v>
      </c>
    </row>
    <row r="390" spans="1:3" x14ac:dyDescent="0.2">
      <c r="A390" s="90" t="s">
        <v>315</v>
      </c>
      <c r="B390" s="74" t="s">
        <v>401</v>
      </c>
      <c r="C390" s="81">
        <f t="shared" si="6"/>
        <v>416.35879999999997</v>
      </c>
    </row>
    <row r="391" spans="1:3" x14ac:dyDescent="0.2">
      <c r="A391" s="90" t="s">
        <v>315</v>
      </c>
      <c r="B391" s="74" t="s">
        <v>401</v>
      </c>
      <c r="C391" s="81">
        <f t="shared" si="6"/>
        <v>416.35879999999997</v>
      </c>
    </row>
    <row r="392" spans="1:3" x14ac:dyDescent="0.2">
      <c r="A392" s="90" t="s">
        <v>315</v>
      </c>
      <c r="B392" s="74" t="s">
        <v>401</v>
      </c>
      <c r="C392" s="81">
        <f t="shared" si="6"/>
        <v>416.35879999999997</v>
      </c>
    </row>
    <row r="393" spans="1:3" x14ac:dyDescent="0.2">
      <c r="A393" s="90" t="s">
        <v>315</v>
      </c>
      <c r="B393" s="74" t="s">
        <v>401</v>
      </c>
      <c r="C393" s="81">
        <f t="shared" si="6"/>
        <v>416.35879999999997</v>
      </c>
    </row>
    <row r="394" spans="1:3" x14ac:dyDescent="0.2">
      <c r="A394" s="90" t="s">
        <v>315</v>
      </c>
      <c r="B394" s="74" t="s">
        <v>401</v>
      </c>
      <c r="C394" s="81">
        <f t="shared" si="6"/>
        <v>416.35879999999997</v>
      </c>
    </row>
    <row r="395" spans="1:3" x14ac:dyDescent="0.2">
      <c r="A395" s="90" t="s">
        <v>315</v>
      </c>
      <c r="B395" s="74" t="s">
        <v>401</v>
      </c>
      <c r="C395" s="81">
        <f t="shared" si="6"/>
        <v>416.35879999999997</v>
      </c>
    </row>
    <row r="396" spans="1:3" ht="76.5" x14ac:dyDescent="0.2">
      <c r="A396" s="90" t="s">
        <v>315</v>
      </c>
      <c r="B396" s="74" t="s">
        <v>402</v>
      </c>
      <c r="C396" s="81">
        <v>672800</v>
      </c>
    </row>
    <row r="397" spans="1:3" ht="182.25" customHeight="1" x14ac:dyDescent="0.2">
      <c r="A397" s="90" t="s">
        <v>315</v>
      </c>
      <c r="B397" s="74" t="s">
        <v>403</v>
      </c>
      <c r="C397" s="81">
        <f>194604.5*2</f>
        <v>389209</v>
      </c>
    </row>
    <row r="398" spans="1:3" ht="25.5" x14ac:dyDescent="0.2">
      <c r="A398" s="90" t="s">
        <v>315</v>
      </c>
      <c r="B398" s="74" t="s">
        <v>404</v>
      </c>
      <c r="C398" s="81">
        <v>50344</v>
      </c>
    </row>
    <row r="399" spans="1:3" ht="89.25" x14ac:dyDescent="0.2">
      <c r="A399" s="90" t="s">
        <v>315</v>
      </c>
      <c r="B399" s="74" t="s">
        <v>405</v>
      </c>
      <c r="C399" s="81">
        <v>998650</v>
      </c>
    </row>
    <row r="400" spans="1:3" ht="25.5" x14ac:dyDescent="0.2">
      <c r="A400" s="90" t="s">
        <v>315</v>
      </c>
      <c r="B400" s="74" t="s">
        <v>406</v>
      </c>
      <c r="C400" s="81">
        <v>51060</v>
      </c>
    </row>
    <row r="401" spans="1:3" x14ac:dyDescent="0.2">
      <c r="A401" s="90" t="s">
        <v>315</v>
      </c>
      <c r="B401" s="74" t="s">
        <v>407</v>
      </c>
      <c r="C401" s="129">
        <v>137873</v>
      </c>
    </row>
    <row r="402" spans="1:3" x14ac:dyDescent="0.2">
      <c r="A402" s="90" t="s">
        <v>315</v>
      </c>
      <c r="B402" s="74" t="s">
        <v>408</v>
      </c>
      <c r="C402" s="130"/>
    </row>
    <row r="403" spans="1:3" x14ac:dyDescent="0.2">
      <c r="A403" s="90" t="s">
        <v>315</v>
      </c>
      <c r="B403" s="74" t="s">
        <v>409</v>
      </c>
      <c r="C403" s="130"/>
    </row>
    <row r="404" spans="1:3" x14ac:dyDescent="0.2">
      <c r="A404" s="90" t="s">
        <v>315</v>
      </c>
      <c r="B404" s="74" t="s">
        <v>410</v>
      </c>
      <c r="C404" s="130"/>
    </row>
    <row r="405" spans="1:3" ht="25.5" x14ac:dyDescent="0.2">
      <c r="A405" s="90" t="s">
        <v>315</v>
      </c>
      <c r="B405" s="74" t="s">
        <v>411</v>
      </c>
      <c r="C405" s="130"/>
    </row>
    <row r="406" spans="1:3" x14ac:dyDescent="0.2">
      <c r="A406" s="90" t="s">
        <v>315</v>
      </c>
      <c r="B406" s="74" t="s">
        <v>412</v>
      </c>
      <c r="C406" s="130"/>
    </row>
    <row r="407" spans="1:3" ht="15.95" customHeight="1" x14ac:dyDescent="0.2">
      <c r="A407" s="90" t="s">
        <v>315</v>
      </c>
      <c r="B407" s="74" t="s">
        <v>413</v>
      </c>
      <c r="C407" s="130"/>
    </row>
    <row r="408" spans="1:3" ht="25.5" x14ac:dyDescent="0.2">
      <c r="A408" s="90" t="s">
        <v>315</v>
      </c>
      <c r="B408" s="74" t="s">
        <v>414</v>
      </c>
      <c r="C408" s="130"/>
    </row>
    <row r="409" spans="1:3" x14ac:dyDescent="0.2">
      <c r="A409" s="90" t="s">
        <v>315</v>
      </c>
      <c r="B409" s="74" t="s">
        <v>415</v>
      </c>
      <c r="C409" s="131"/>
    </row>
    <row r="410" spans="1:3" ht="25.5" x14ac:dyDescent="0.2">
      <c r="A410" s="90" t="s">
        <v>315</v>
      </c>
      <c r="B410" s="74" t="s">
        <v>416</v>
      </c>
      <c r="C410" s="81">
        <f>127956.89*1.16</f>
        <v>148429.99239999999</v>
      </c>
    </row>
    <row r="411" spans="1:3" x14ac:dyDescent="0.2">
      <c r="A411" s="90" t="s">
        <v>315</v>
      </c>
      <c r="B411" s="74" t="s">
        <v>417</v>
      </c>
      <c r="C411" s="81">
        <f>23439.65*1.16</f>
        <v>27189.993999999999</v>
      </c>
    </row>
    <row r="412" spans="1:3" x14ac:dyDescent="0.2">
      <c r="A412" s="90" t="s">
        <v>315</v>
      </c>
      <c r="B412" s="74" t="s">
        <v>417</v>
      </c>
      <c r="C412" s="81">
        <f>23439.65*1.16</f>
        <v>27189.993999999999</v>
      </c>
    </row>
    <row r="413" spans="1:3" x14ac:dyDescent="0.2">
      <c r="A413" s="90" t="s">
        <v>315</v>
      </c>
      <c r="B413" s="74" t="s">
        <v>417</v>
      </c>
      <c r="C413" s="81">
        <f t="shared" ref="C413:C440" si="7">23439.65*1.16</f>
        <v>27189.993999999999</v>
      </c>
    </row>
    <row r="414" spans="1:3" x14ac:dyDescent="0.2">
      <c r="A414" s="90" t="s">
        <v>315</v>
      </c>
      <c r="B414" s="74" t="s">
        <v>417</v>
      </c>
      <c r="C414" s="81">
        <f t="shared" si="7"/>
        <v>27189.993999999999</v>
      </c>
    </row>
    <row r="415" spans="1:3" x14ac:dyDescent="0.2">
      <c r="A415" s="90" t="s">
        <v>315</v>
      </c>
      <c r="B415" s="74" t="s">
        <v>417</v>
      </c>
      <c r="C415" s="81">
        <f t="shared" si="7"/>
        <v>27189.993999999999</v>
      </c>
    </row>
    <row r="416" spans="1:3" x14ac:dyDescent="0.2">
      <c r="A416" s="90" t="s">
        <v>315</v>
      </c>
      <c r="B416" s="74" t="s">
        <v>417</v>
      </c>
      <c r="C416" s="81">
        <f t="shared" si="7"/>
        <v>27189.993999999999</v>
      </c>
    </row>
    <row r="417" spans="1:3" x14ac:dyDescent="0.2">
      <c r="A417" s="90" t="s">
        <v>315</v>
      </c>
      <c r="B417" s="74" t="s">
        <v>417</v>
      </c>
      <c r="C417" s="81">
        <f t="shared" si="7"/>
        <v>27189.993999999999</v>
      </c>
    </row>
    <row r="418" spans="1:3" x14ac:dyDescent="0.2">
      <c r="A418" s="90" t="s">
        <v>315</v>
      </c>
      <c r="B418" s="74" t="s">
        <v>417</v>
      </c>
      <c r="C418" s="81">
        <f t="shared" si="7"/>
        <v>27189.993999999999</v>
      </c>
    </row>
    <row r="419" spans="1:3" x14ac:dyDescent="0.2">
      <c r="A419" s="90" t="s">
        <v>315</v>
      </c>
      <c r="B419" s="74" t="s">
        <v>417</v>
      </c>
      <c r="C419" s="81">
        <f t="shared" si="7"/>
        <v>27189.993999999999</v>
      </c>
    </row>
    <row r="420" spans="1:3" x14ac:dyDescent="0.2">
      <c r="A420" s="90" t="s">
        <v>315</v>
      </c>
      <c r="B420" s="74" t="s">
        <v>417</v>
      </c>
      <c r="C420" s="81">
        <f t="shared" si="7"/>
        <v>27189.993999999999</v>
      </c>
    </row>
    <row r="421" spans="1:3" x14ac:dyDescent="0.2">
      <c r="A421" s="90" t="s">
        <v>315</v>
      </c>
      <c r="B421" s="74" t="s">
        <v>417</v>
      </c>
      <c r="C421" s="81">
        <f t="shared" si="7"/>
        <v>27189.993999999999</v>
      </c>
    </row>
    <row r="422" spans="1:3" x14ac:dyDescent="0.2">
      <c r="A422" s="90" t="s">
        <v>315</v>
      </c>
      <c r="B422" s="74" t="s">
        <v>417</v>
      </c>
      <c r="C422" s="81">
        <f t="shared" si="7"/>
        <v>27189.993999999999</v>
      </c>
    </row>
    <row r="423" spans="1:3" x14ac:dyDescent="0.2">
      <c r="A423" s="90" t="s">
        <v>315</v>
      </c>
      <c r="B423" s="74" t="s">
        <v>417</v>
      </c>
      <c r="C423" s="81">
        <f t="shared" si="7"/>
        <v>27189.993999999999</v>
      </c>
    </row>
    <row r="424" spans="1:3" x14ac:dyDescent="0.2">
      <c r="A424" s="90" t="s">
        <v>315</v>
      </c>
      <c r="B424" s="74" t="s">
        <v>417</v>
      </c>
      <c r="C424" s="81">
        <f t="shared" si="7"/>
        <v>27189.993999999999</v>
      </c>
    </row>
    <row r="425" spans="1:3" x14ac:dyDescent="0.2">
      <c r="A425" s="90" t="s">
        <v>315</v>
      </c>
      <c r="B425" s="74" t="s">
        <v>417</v>
      </c>
      <c r="C425" s="81">
        <f t="shared" si="7"/>
        <v>27189.993999999999</v>
      </c>
    </row>
    <row r="426" spans="1:3" x14ac:dyDescent="0.2">
      <c r="A426" s="90" t="s">
        <v>315</v>
      </c>
      <c r="B426" s="74" t="s">
        <v>417</v>
      </c>
      <c r="C426" s="81">
        <f t="shared" si="7"/>
        <v>27189.993999999999</v>
      </c>
    </row>
    <row r="427" spans="1:3" x14ac:dyDescent="0.2">
      <c r="A427" s="90" t="s">
        <v>315</v>
      </c>
      <c r="B427" s="74" t="s">
        <v>417</v>
      </c>
      <c r="C427" s="81">
        <f t="shared" si="7"/>
        <v>27189.993999999999</v>
      </c>
    </row>
    <row r="428" spans="1:3" x14ac:dyDescent="0.2">
      <c r="A428" s="90" t="s">
        <v>315</v>
      </c>
      <c r="B428" s="74" t="s">
        <v>417</v>
      </c>
      <c r="C428" s="81">
        <f t="shared" si="7"/>
        <v>27189.993999999999</v>
      </c>
    </row>
    <row r="429" spans="1:3" x14ac:dyDescent="0.2">
      <c r="A429" s="90" t="s">
        <v>315</v>
      </c>
      <c r="B429" s="74" t="s">
        <v>417</v>
      </c>
      <c r="C429" s="81">
        <f t="shared" si="7"/>
        <v>27189.993999999999</v>
      </c>
    </row>
    <row r="430" spans="1:3" x14ac:dyDescent="0.2">
      <c r="A430" s="90" t="s">
        <v>315</v>
      </c>
      <c r="B430" s="74" t="s">
        <v>417</v>
      </c>
      <c r="C430" s="81">
        <f t="shared" si="7"/>
        <v>27189.993999999999</v>
      </c>
    </row>
    <row r="431" spans="1:3" x14ac:dyDescent="0.2">
      <c r="A431" s="90" t="s">
        <v>315</v>
      </c>
      <c r="B431" s="74" t="s">
        <v>417</v>
      </c>
      <c r="C431" s="81">
        <f t="shared" si="7"/>
        <v>27189.993999999999</v>
      </c>
    </row>
    <row r="432" spans="1:3" x14ac:dyDescent="0.2">
      <c r="A432" s="90" t="s">
        <v>315</v>
      </c>
      <c r="B432" s="74" t="s">
        <v>417</v>
      </c>
      <c r="C432" s="81">
        <f t="shared" si="7"/>
        <v>27189.993999999999</v>
      </c>
    </row>
    <row r="433" spans="1:3" x14ac:dyDescent="0.2">
      <c r="A433" s="90" t="s">
        <v>315</v>
      </c>
      <c r="B433" s="74" t="s">
        <v>417</v>
      </c>
      <c r="C433" s="81">
        <f t="shared" si="7"/>
        <v>27189.993999999999</v>
      </c>
    </row>
    <row r="434" spans="1:3" x14ac:dyDescent="0.2">
      <c r="A434" s="90" t="s">
        <v>315</v>
      </c>
      <c r="B434" s="74" t="s">
        <v>417</v>
      </c>
      <c r="C434" s="81">
        <f t="shared" si="7"/>
        <v>27189.993999999999</v>
      </c>
    </row>
    <row r="435" spans="1:3" x14ac:dyDescent="0.2">
      <c r="A435" s="90" t="s">
        <v>315</v>
      </c>
      <c r="B435" s="74" t="s">
        <v>417</v>
      </c>
      <c r="C435" s="81">
        <f t="shared" si="7"/>
        <v>27189.993999999999</v>
      </c>
    </row>
    <row r="436" spans="1:3" x14ac:dyDescent="0.2">
      <c r="A436" s="90" t="s">
        <v>315</v>
      </c>
      <c r="B436" s="74" t="s">
        <v>417</v>
      </c>
      <c r="C436" s="81">
        <f t="shared" si="7"/>
        <v>27189.993999999999</v>
      </c>
    </row>
    <row r="437" spans="1:3" x14ac:dyDescent="0.2">
      <c r="A437" s="90" t="s">
        <v>315</v>
      </c>
      <c r="B437" s="74" t="s">
        <v>417</v>
      </c>
      <c r="C437" s="81">
        <f t="shared" si="7"/>
        <v>27189.993999999999</v>
      </c>
    </row>
    <row r="438" spans="1:3" x14ac:dyDescent="0.2">
      <c r="A438" s="90" t="s">
        <v>315</v>
      </c>
      <c r="B438" s="74" t="s">
        <v>417</v>
      </c>
      <c r="C438" s="81">
        <f t="shared" si="7"/>
        <v>27189.993999999999</v>
      </c>
    </row>
    <row r="439" spans="1:3" x14ac:dyDescent="0.2">
      <c r="A439" s="90" t="s">
        <v>315</v>
      </c>
      <c r="B439" s="74" t="s">
        <v>417</v>
      </c>
      <c r="C439" s="81">
        <f t="shared" si="7"/>
        <v>27189.993999999999</v>
      </c>
    </row>
    <row r="440" spans="1:3" x14ac:dyDescent="0.2">
      <c r="A440" s="90" t="s">
        <v>315</v>
      </c>
      <c r="B440" s="74" t="s">
        <v>417</v>
      </c>
      <c r="C440" s="81">
        <f t="shared" si="7"/>
        <v>27189.993999999999</v>
      </c>
    </row>
    <row r="441" spans="1:3" x14ac:dyDescent="0.2">
      <c r="A441" s="90" t="s">
        <v>315</v>
      </c>
      <c r="B441" s="74" t="s">
        <v>418</v>
      </c>
      <c r="C441" s="81">
        <f>6362.15*1.16</f>
        <v>7380.0939999999991</v>
      </c>
    </row>
    <row r="442" spans="1:3" x14ac:dyDescent="0.2">
      <c r="A442" s="90" t="s">
        <v>315</v>
      </c>
      <c r="B442" s="74" t="s">
        <v>419</v>
      </c>
      <c r="C442" s="81">
        <f>853.44*1.16</f>
        <v>989.99040000000002</v>
      </c>
    </row>
    <row r="443" spans="1:3" ht="76.5" x14ac:dyDescent="0.2">
      <c r="A443" s="90" t="s">
        <v>315</v>
      </c>
      <c r="B443" s="74" t="s">
        <v>420</v>
      </c>
      <c r="C443" s="81">
        <f>1129.35*1.16</f>
        <v>1310.0459999999998</v>
      </c>
    </row>
    <row r="444" spans="1:3" ht="76.5" x14ac:dyDescent="0.2">
      <c r="A444" s="90" t="s">
        <v>315</v>
      </c>
      <c r="B444" s="74" t="s">
        <v>420</v>
      </c>
      <c r="C444" s="81">
        <f>1129.35*1.16</f>
        <v>1310.0459999999998</v>
      </c>
    </row>
    <row r="445" spans="1:3" ht="76.5" x14ac:dyDescent="0.2">
      <c r="A445" s="90" t="s">
        <v>315</v>
      </c>
      <c r="B445" s="74" t="s">
        <v>420</v>
      </c>
      <c r="C445" s="81">
        <f>1129.35*1.16</f>
        <v>1310.0459999999998</v>
      </c>
    </row>
    <row r="446" spans="1:3" x14ac:dyDescent="0.2">
      <c r="A446" s="90" t="s">
        <v>315</v>
      </c>
      <c r="B446" s="74" t="s">
        <v>421</v>
      </c>
      <c r="C446" s="81">
        <f>10215.51*1.16</f>
        <v>11849.991599999999</v>
      </c>
    </row>
    <row r="447" spans="1:3" x14ac:dyDescent="0.2">
      <c r="A447" s="90" t="s">
        <v>315</v>
      </c>
      <c r="B447" s="74" t="s">
        <v>421</v>
      </c>
      <c r="C447" s="81">
        <f>10215.51*1.16</f>
        <v>11849.991599999999</v>
      </c>
    </row>
    <row r="448" spans="1:3" x14ac:dyDescent="0.2">
      <c r="A448" s="90" t="s">
        <v>315</v>
      </c>
      <c r="B448" s="74" t="s">
        <v>422</v>
      </c>
      <c r="C448" s="81">
        <v>11000.001399999999</v>
      </c>
    </row>
    <row r="449" spans="1:3" x14ac:dyDescent="0.2">
      <c r="A449" s="90" t="s">
        <v>315</v>
      </c>
      <c r="B449" s="74" t="s">
        <v>422</v>
      </c>
      <c r="C449" s="81">
        <v>11000.001399999999</v>
      </c>
    </row>
    <row r="450" spans="1:3" x14ac:dyDescent="0.2">
      <c r="A450" s="90" t="s">
        <v>315</v>
      </c>
      <c r="B450" s="74" t="s">
        <v>422</v>
      </c>
      <c r="C450" s="81">
        <v>11000.001399999999</v>
      </c>
    </row>
    <row r="451" spans="1:3" x14ac:dyDescent="0.2">
      <c r="A451" s="90" t="s">
        <v>315</v>
      </c>
      <c r="B451" s="74" t="s">
        <v>422</v>
      </c>
      <c r="C451" s="81">
        <v>11000.001399999999</v>
      </c>
    </row>
    <row r="452" spans="1:3" x14ac:dyDescent="0.2">
      <c r="A452" s="90" t="s">
        <v>315</v>
      </c>
      <c r="B452" s="74" t="s">
        <v>422</v>
      </c>
      <c r="C452" s="81">
        <v>11000.001399999999</v>
      </c>
    </row>
    <row r="453" spans="1:3" x14ac:dyDescent="0.2">
      <c r="A453" s="90" t="s">
        <v>315</v>
      </c>
      <c r="B453" s="74" t="s">
        <v>422</v>
      </c>
      <c r="C453" s="81">
        <v>11000.001399999999</v>
      </c>
    </row>
    <row r="454" spans="1:3" x14ac:dyDescent="0.2">
      <c r="A454" s="90" t="s">
        <v>315</v>
      </c>
      <c r="B454" s="74" t="s">
        <v>422</v>
      </c>
      <c r="C454" s="81">
        <v>11000.001399999999</v>
      </c>
    </row>
    <row r="455" spans="1:3" x14ac:dyDescent="0.2">
      <c r="A455" s="90" t="s">
        <v>315</v>
      </c>
      <c r="B455" s="74" t="s">
        <v>422</v>
      </c>
      <c r="C455" s="81">
        <v>11000.001399999999</v>
      </c>
    </row>
    <row r="456" spans="1:3" x14ac:dyDescent="0.2">
      <c r="A456" s="90" t="s">
        <v>315</v>
      </c>
      <c r="B456" s="74" t="s">
        <v>422</v>
      </c>
      <c r="C456" s="81">
        <v>11000.001399999999</v>
      </c>
    </row>
    <row r="457" spans="1:3" x14ac:dyDescent="0.2">
      <c r="A457" s="90" t="s">
        <v>315</v>
      </c>
      <c r="B457" s="74" t="s">
        <v>422</v>
      </c>
      <c r="C457" s="81">
        <v>11000.001399999999</v>
      </c>
    </row>
    <row r="458" spans="1:3" x14ac:dyDescent="0.2">
      <c r="A458" s="90" t="s">
        <v>315</v>
      </c>
      <c r="B458" s="74" t="s">
        <v>422</v>
      </c>
      <c r="C458" s="81">
        <v>11000.001399999999</v>
      </c>
    </row>
    <row r="459" spans="1:3" x14ac:dyDescent="0.2">
      <c r="A459" s="90" t="s">
        <v>315</v>
      </c>
      <c r="B459" s="74" t="s">
        <v>422</v>
      </c>
      <c r="C459" s="81">
        <v>11000.001399999999</v>
      </c>
    </row>
    <row r="460" spans="1:3" x14ac:dyDescent="0.2">
      <c r="A460" s="90" t="s">
        <v>315</v>
      </c>
      <c r="B460" s="74" t="s">
        <v>422</v>
      </c>
      <c r="C460" s="81">
        <v>11000.001399999999</v>
      </c>
    </row>
    <row r="461" spans="1:3" x14ac:dyDescent="0.2">
      <c r="A461" s="90" t="s">
        <v>315</v>
      </c>
      <c r="B461" s="74" t="s">
        <v>422</v>
      </c>
      <c r="C461" s="81">
        <v>11000.001399999999</v>
      </c>
    </row>
    <row r="462" spans="1:3" x14ac:dyDescent="0.2">
      <c r="A462" s="90" t="s">
        <v>315</v>
      </c>
      <c r="B462" s="74" t="s">
        <v>422</v>
      </c>
      <c r="C462" s="81">
        <v>11000.001399999999</v>
      </c>
    </row>
    <row r="463" spans="1:3" x14ac:dyDescent="0.2">
      <c r="A463" s="90" t="s">
        <v>315</v>
      </c>
      <c r="B463" s="74" t="s">
        <v>422</v>
      </c>
      <c r="C463" s="81">
        <v>11000.001399999999</v>
      </c>
    </row>
    <row r="464" spans="1:3" x14ac:dyDescent="0.2">
      <c r="A464" s="90" t="s">
        <v>315</v>
      </c>
      <c r="B464" s="74" t="s">
        <v>422</v>
      </c>
      <c r="C464" s="81">
        <v>11000.001399999999</v>
      </c>
    </row>
    <row r="465" spans="1:3" x14ac:dyDescent="0.2">
      <c r="A465" s="90" t="s">
        <v>315</v>
      </c>
      <c r="B465" s="74" t="s">
        <v>422</v>
      </c>
      <c r="C465" s="81">
        <v>11000.001399999999</v>
      </c>
    </row>
    <row r="466" spans="1:3" x14ac:dyDescent="0.2">
      <c r="A466" s="90" t="s">
        <v>315</v>
      </c>
      <c r="B466" s="74" t="s">
        <v>422</v>
      </c>
      <c r="C466" s="81">
        <v>11000.001399999999</v>
      </c>
    </row>
    <row r="467" spans="1:3" x14ac:dyDescent="0.2">
      <c r="A467" s="90" t="s">
        <v>315</v>
      </c>
      <c r="B467" s="74" t="s">
        <v>422</v>
      </c>
      <c r="C467" s="81">
        <v>11000.001399999999</v>
      </c>
    </row>
    <row r="468" spans="1:3" x14ac:dyDescent="0.2">
      <c r="A468" s="90" t="s">
        <v>315</v>
      </c>
      <c r="B468" s="74" t="s">
        <v>422</v>
      </c>
      <c r="C468" s="81">
        <v>11000.001399999999</v>
      </c>
    </row>
    <row r="469" spans="1:3" x14ac:dyDescent="0.2">
      <c r="A469" s="90" t="s">
        <v>315</v>
      </c>
      <c r="B469" s="74" t="s">
        <v>422</v>
      </c>
      <c r="C469" s="81">
        <v>11000.001399999999</v>
      </c>
    </row>
    <row r="470" spans="1:3" x14ac:dyDescent="0.2">
      <c r="A470" s="90" t="s">
        <v>315</v>
      </c>
      <c r="B470" s="74" t="s">
        <v>422</v>
      </c>
      <c r="C470" s="81">
        <v>11000.001399999999</v>
      </c>
    </row>
    <row r="471" spans="1:3" x14ac:dyDescent="0.2">
      <c r="A471" s="90" t="s">
        <v>315</v>
      </c>
      <c r="B471" s="74" t="s">
        <v>422</v>
      </c>
      <c r="C471" s="81">
        <v>11000.001399999999</v>
      </c>
    </row>
    <row r="472" spans="1:3" x14ac:dyDescent="0.2">
      <c r="A472" s="90" t="s">
        <v>315</v>
      </c>
      <c r="B472" s="74" t="s">
        <v>422</v>
      </c>
      <c r="C472" s="81">
        <v>11000.001399999999</v>
      </c>
    </row>
    <row r="473" spans="1:3" x14ac:dyDescent="0.2">
      <c r="A473" s="90" t="s">
        <v>315</v>
      </c>
      <c r="B473" s="74" t="s">
        <v>422</v>
      </c>
      <c r="C473" s="81">
        <v>11000.001399999999</v>
      </c>
    </row>
    <row r="474" spans="1:3" x14ac:dyDescent="0.2">
      <c r="A474" s="90" t="s">
        <v>315</v>
      </c>
      <c r="B474" s="74" t="s">
        <v>422</v>
      </c>
      <c r="C474" s="81">
        <v>11000.001399999999</v>
      </c>
    </row>
    <row r="475" spans="1:3" x14ac:dyDescent="0.2">
      <c r="A475" s="90" t="s">
        <v>315</v>
      </c>
      <c r="B475" s="74" t="s">
        <v>422</v>
      </c>
      <c r="C475" s="81">
        <v>11000.001399999999</v>
      </c>
    </row>
    <row r="476" spans="1:3" x14ac:dyDescent="0.2">
      <c r="A476" s="90" t="s">
        <v>315</v>
      </c>
      <c r="B476" s="74" t="s">
        <v>422</v>
      </c>
      <c r="C476" s="81">
        <v>11000.001399999999</v>
      </c>
    </row>
    <row r="477" spans="1:3" x14ac:dyDescent="0.2">
      <c r="A477" s="90" t="s">
        <v>315</v>
      </c>
      <c r="B477" s="74" t="s">
        <v>422</v>
      </c>
      <c r="C477" s="81">
        <v>11000.001399999999</v>
      </c>
    </row>
    <row r="478" spans="1:3" x14ac:dyDescent="0.2">
      <c r="A478" s="90" t="s">
        <v>315</v>
      </c>
      <c r="B478" s="74" t="s">
        <v>422</v>
      </c>
      <c r="C478" s="81">
        <v>11000.001399999999</v>
      </c>
    </row>
    <row r="479" spans="1:3" x14ac:dyDescent="0.2">
      <c r="A479" s="90" t="s">
        <v>315</v>
      </c>
      <c r="B479" s="74" t="s">
        <v>422</v>
      </c>
      <c r="C479" s="81">
        <v>11000.001399999999</v>
      </c>
    </row>
    <row r="480" spans="1:3" x14ac:dyDescent="0.2">
      <c r="A480" s="90" t="s">
        <v>315</v>
      </c>
      <c r="B480" s="74" t="s">
        <v>422</v>
      </c>
      <c r="C480" s="81">
        <v>11000.001399999999</v>
      </c>
    </row>
    <row r="481" spans="1:3" x14ac:dyDescent="0.2">
      <c r="A481" s="90" t="s">
        <v>315</v>
      </c>
      <c r="B481" s="74" t="s">
        <v>422</v>
      </c>
      <c r="C481" s="81">
        <v>11000.001399999999</v>
      </c>
    </row>
    <row r="482" spans="1:3" x14ac:dyDescent="0.2">
      <c r="A482" s="90" t="s">
        <v>315</v>
      </c>
      <c r="B482" s="74" t="s">
        <v>422</v>
      </c>
      <c r="C482" s="81">
        <v>11000.001399999999</v>
      </c>
    </row>
    <row r="483" spans="1:3" x14ac:dyDescent="0.2">
      <c r="A483" s="90" t="s">
        <v>315</v>
      </c>
      <c r="B483" s="74" t="s">
        <v>422</v>
      </c>
      <c r="C483" s="81">
        <v>11000.001399999999</v>
      </c>
    </row>
    <row r="484" spans="1:3" x14ac:dyDescent="0.2">
      <c r="A484" s="90" t="s">
        <v>315</v>
      </c>
      <c r="B484" s="74" t="s">
        <v>422</v>
      </c>
      <c r="C484" s="81">
        <v>11000.001399999999</v>
      </c>
    </row>
    <row r="485" spans="1:3" x14ac:dyDescent="0.2">
      <c r="A485" s="90" t="s">
        <v>315</v>
      </c>
      <c r="B485" s="74" t="s">
        <v>422</v>
      </c>
      <c r="C485" s="81">
        <v>11000.001399999999</v>
      </c>
    </row>
    <row r="486" spans="1:3" x14ac:dyDescent="0.2">
      <c r="A486" s="90" t="s">
        <v>315</v>
      </c>
      <c r="B486" s="74" t="s">
        <v>422</v>
      </c>
      <c r="C486" s="81">
        <v>11000.001399999999</v>
      </c>
    </row>
    <row r="487" spans="1:3" x14ac:dyDescent="0.2">
      <c r="A487" s="90" t="s">
        <v>315</v>
      </c>
      <c r="B487" s="74" t="s">
        <v>422</v>
      </c>
      <c r="C487" s="81">
        <v>11000.001399999999</v>
      </c>
    </row>
    <row r="488" spans="1:3" x14ac:dyDescent="0.2">
      <c r="A488" s="90" t="s">
        <v>315</v>
      </c>
      <c r="B488" s="74" t="s">
        <v>422</v>
      </c>
      <c r="C488" s="81">
        <v>11000.001399999999</v>
      </c>
    </row>
    <row r="489" spans="1:3" x14ac:dyDescent="0.2">
      <c r="A489" s="90" t="s">
        <v>315</v>
      </c>
      <c r="B489" s="74" t="s">
        <v>422</v>
      </c>
      <c r="C489" s="81">
        <v>11000.001399999999</v>
      </c>
    </row>
    <row r="490" spans="1:3" x14ac:dyDescent="0.2">
      <c r="A490" s="90" t="s">
        <v>315</v>
      </c>
      <c r="B490" s="74" t="s">
        <v>422</v>
      </c>
      <c r="C490" s="81">
        <v>11000.001399999999</v>
      </c>
    </row>
    <row r="491" spans="1:3" x14ac:dyDescent="0.2">
      <c r="A491" s="90" t="s">
        <v>315</v>
      </c>
      <c r="B491" s="74" t="s">
        <v>422</v>
      </c>
      <c r="C491" s="81">
        <v>11000.001399999999</v>
      </c>
    </row>
    <row r="492" spans="1:3" x14ac:dyDescent="0.2">
      <c r="A492" s="90" t="s">
        <v>315</v>
      </c>
      <c r="B492" s="74" t="s">
        <v>422</v>
      </c>
      <c r="C492" s="81">
        <v>11000.001399999999</v>
      </c>
    </row>
    <row r="493" spans="1:3" x14ac:dyDescent="0.2">
      <c r="A493" s="90" t="s">
        <v>315</v>
      </c>
      <c r="B493" s="74" t="s">
        <v>422</v>
      </c>
      <c r="C493" s="81">
        <v>11000.001399999999</v>
      </c>
    </row>
    <row r="494" spans="1:3" x14ac:dyDescent="0.2">
      <c r="A494" s="90" t="s">
        <v>315</v>
      </c>
      <c r="B494" s="74" t="s">
        <v>422</v>
      </c>
      <c r="C494" s="81">
        <v>11000.001399999999</v>
      </c>
    </row>
    <row r="495" spans="1:3" x14ac:dyDescent="0.2">
      <c r="A495" s="90" t="s">
        <v>315</v>
      </c>
      <c r="B495" s="74" t="s">
        <v>422</v>
      </c>
      <c r="C495" s="81">
        <v>11000.001399999999</v>
      </c>
    </row>
    <row r="496" spans="1:3" x14ac:dyDescent="0.2">
      <c r="A496" s="90" t="s">
        <v>315</v>
      </c>
      <c r="B496" s="74" t="s">
        <v>422</v>
      </c>
      <c r="C496" s="81">
        <v>11000.001399999999</v>
      </c>
    </row>
    <row r="497" spans="1:3" ht="25.5" x14ac:dyDescent="0.2">
      <c r="A497" s="90" t="s">
        <v>315</v>
      </c>
      <c r="B497" s="74" t="s">
        <v>423</v>
      </c>
      <c r="C497" s="81">
        <v>12500.001</v>
      </c>
    </row>
    <row r="498" spans="1:3" ht="25.5" x14ac:dyDescent="0.2">
      <c r="A498" s="90" t="s">
        <v>315</v>
      </c>
      <c r="B498" s="74" t="s">
        <v>423</v>
      </c>
      <c r="C498" s="81">
        <v>12500.001</v>
      </c>
    </row>
    <row r="499" spans="1:3" ht="25.5" x14ac:dyDescent="0.2">
      <c r="A499" s="90" t="s">
        <v>315</v>
      </c>
      <c r="B499" s="74" t="s">
        <v>423</v>
      </c>
      <c r="C499" s="81">
        <v>12500.001</v>
      </c>
    </row>
    <row r="500" spans="1:3" ht="25.5" x14ac:dyDescent="0.2">
      <c r="A500" s="90" t="s">
        <v>315</v>
      </c>
      <c r="B500" s="74" t="s">
        <v>423</v>
      </c>
      <c r="C500" s="81">
        <v>12500.001</v>
      </c>
    </row>
    <row r="501" spans="1:3" ht="25.5" x14ac:dyDescent="0.2">
      <c r="A501" s="90" t="s">
        <v>315</v>
      </c>
      <c r="B501" s="74" t="s">
        <v>423</v>
      </c>
      <c r="C501" s="81">
        <v>12500.001</v>
      </c>
    </row>
    <row r="502" spans="1:3" ht="25.5" x14ac:dyDescent="0.2">
      <c r="A502" s="90" t="s">
        <v>315</v>
      </c>
      <c r="B502" s="74" t="s">
        <v>423</v>
      </c>
      <c r="C502" s="81">
        <v>12500.001</v>
      </c>
    </row>
    <row r="503" spans="1:3" ht="25.5" x14ac:dyDescent="0.2">
      <c r="A503" s="90" t="s">
        <v>315</v>
      </c>
      <c r="B503" s="74" t="s">
        <v>423</v>
      </c>
      <c r="C503" s="81">
        <v>12500.001</v>
      </c>
    </row>
    <row r="504" spans="1:3" ht="25.5" x14ac:dyDescent="0.2">
      <c r="A504" s="90" t="s">
        <v>315</v>
      </c>
      <c r="B504" s="74" t="s">
        <v>423</v>
      </c>
      <c r="C504" s="81">
        <v>12500.001</v>
      </c>
    </row>
    <row r="505" spans="1:3" ht="25.5" x14ac:dyDescent="0.2">
      <c r="A505" s="90" t="s">
        <v>315</v>
      </c>
      <c r="B505" s="74" t="s">
        <v>423</v>
      </c>
      <c r="C505" s="81">
        <v>12500.001</v>
      </c>
    </row>
    <row r="506" spans="1:3" x14ac:dyDescent="0.2">
      <c r="A506" s="90" t="s">
        <v>315</v>
      </c>
      <c r="B506" s="74" t="s">
        <v>424</v>
      </c>
      <c r="C506" s="81">
        <v>16500.003280000001</v>
      </c>
    </row>
    <row r="507" spans="1:3" x14ac:dyDescent="0.2">
      <c r="A507" s="90" t="s">
        <v>315</v>
      </c>
      <c r="B507" s="74" t="s">
        <v>424</v>
      </c>
      <c r="C507" s="81">
        <v>16500.003280000001</v>
      </c>
    </row>
    <row r="508" spans="1:3" x14ac:dyDescent="0.2">
      <c r="A508" s="90" t="s">
        <v>315</v>
      </c>
      <c r="B508" s="74" t="s">
        <v>424</v>
      </c>
      <c r="C508" s="81">
        <v>16500.003280000001</v>
      </c>
    </row>
    <row r="509" spans="1:3" x14ac:dyDescent="0.2">
      <c r="A509" s="90" t="s">
        <v>315</v>
      </c>
      <c r="B509" s="74" t="s">
        <v>424</v>
      </c>
      <c r="C509" s="81">
        <v>16500.003280000001</v>
      </c>
    </row>
    <row r="510" spans="1:3" x14ac:dyDescent="0.2">
      <c r="A510" s="90" t="s">
        <v>315</v>
      </c>
      <c r="B510" s="74" t="s">
        <v>424</v>
      </c>
      <c r="C510" s="81">
        <v>16500.003280000001</v>
      </c>
    </row>
    <row r="511" spans="1:3" x14ac:dyDescent="0.2">
      <c r="A511" s="90" t="s">
        <v>315</v>
      </c>
      <c r="B511" s="74" t="s">
        <v>424</v>
      </c>
      <c r="C511" s="81">
        <v>16500.003280000001</v>
      </c>
    </row>
    <row r="512" spans="1:3" x14ac:dyDescent="0.2">
      <c r="A512" s="90" t="s">
        <v>315</v>
      </c>
      <c r="B512" s="74" t="s">
        <v>424</v>
      </c>
      <c r="C512" s="81">
        <v>16500.003280000001</v>
      </c>
    </row>
    <row r="513" spans="1:3" x14ac:dyDescent="0.2">
      <c r="A513" s="90" t="s">
        <v>315</v>
      </c>
      <c r="B513" s="74" t="s">
        <v>424</v>
      </c>
      <c r="C513" s="81">
        <v>16500.003280000001</v>
      </c>
    </row>
    <row r="514" spans="1:3" x14ac:dyDescent="0.2">
      <c r="A514" s="90" t="s">
        <v>315</v>
      </c>
      <c r="B514" s="74" t="s">
        <v>424</v>
      </c>
      <c r="C514" s="81">
        <v>16500.003280000001</v>
      </c>
    </row>
    <row r="515" spans="1:3" x14ac:dyDescent="0.2">
      <c r="A515" s="90" t="s">
        <v>315</v>
      </c>
      <c r="B515" s="74" t="s">
        <v>424</v>
      </c>
      <c r="C515" s="81">
        <v>16500.003280000001</v>
      </c>
    </row>
    <row r="516" spans="1:3" x14ac:dyDescent="0.2">
      <c r="A516" s="90" t="s">
        <v>315</v>
      </c>
      <c r="B516" s="74" t="s">
        <v>424</v>
      </c>
      <c r="C516" s="81">
        <v>16500.003280000001</v>
      </c>
    </row>
    <row r="517" spans="1:3" x14ac:dyDescent="0.2">
      <c r="A517" s="90" t="s">
        <v>315</v>
      </c>
      <c r="B517" s="74" t="s">
        <v>424</v>
      </c>
      <c r="C517" s="81">
        <v>16500.003280000001</v>
      </c>
    </row>
    <row r="518" spans="1:3" x14ac:dyDescent="0.2">
      <c r="A518" s="90" t="s">
        <v>315</v>
      </c>
      <c r="B518" s="74" t="s">
        <v>424</v>
      </c>
      <c r="C518" s="81">
        <v>16500.003280000001</v>
      </c>
    </row>
    <row r="519" spans="1:3" x14ac:dyDescent="0.2">
      <c r="A519" s="90" t="s">
        <v>315</v>
      </c>
      <c r="B519" s="74" t="s">
        <v>424</v>
      </c>
      <c r="C519" s="81">
        <v>16500.003280000001</v>
      </c>
    </row>
    <row r="520" spans="1:3" x14ac:dyDescent="0.2">
      <c r="A520" s="90" t="s">
        <v>315</v>
      </c>
      <c r="B520" s="74" t="s">
        <v>424</v>
      </c>
      <c r="C520" s="81">
        <v>16500.003280000001</v>
      </c>
    </row>
    <row r="521" spans="1:3" x14ac:dyDescent="0.2">
      <c r="A521" s="90" t="s">
        <v>315</v>
      </c>
      <c r="B521" s="74" t="s">
        <v>424</v>
      </c>
      <c r="C521" s="81">
        <v>16500.003280000001</v>
      </c>
    </row>
    <row r="522" spans="1:3" x14ac:dyDescent="0.2">
      <c r="A522" s="90" t="s">
        <v>315</v>
      </c>
      <c r="B522" s="74" t="s">
        <v>424</v>
      </c>
      <c r="C522" s="81">
        <v>16500.003280000001</v>
      </c>
    </row>
    <row r="523" spans="1:3" x14ac:dyDescent="0.2">
      <c r="A523" s="90" t="s">
        <v>315</v>
      </c>
      <c r="B523" s="74" t="s">
        <v>424</v>
      </c>
      <c r="C523" s="81">
        <v>16500.003280000001</v>
      </c>
    </row>
    <row r="524" spans="1:3" x14ac:dyDescent="0.2">
      <c r="A524" s="90" t="s">
        <v>315</v>
      </c>
      <c r="B524" s="74" t="s">
        <v>424</v>
      </c>
      <c r="C524" s="81">
        <v>16500.003280000001</v>
      </c>
    </row>
    <row r="525" spans="1:3" x14ac:dyDescent="0.2">
      <c r="A525" s="90" t="s">
        <v>315</v>
      </c>
      <c r="B525" s="74" t="s">
        <v>424</v>
      </c>
      <c r="C525" s="81">
        <v>16500.003280000001</v>
      </c>
    </row>
    <row r="526" spans="1:3" x14ac:dyDescent="0.2">
      <c r="A526" s="90" t="s">
        <v>315</v>
      </c>
      <c r="B526" s="74" t="s">
        <v>424</v>
      </c>
      <c r="C526" s="81">
        <v>16500.003280000001</v>
      </c>
    </row>
    <row r="527" spans="1:3" x14ac:dyDescent="0.2">
      <c r="A527" s="90" t="s">
        <v>315</v>
      </c>
      <c r="B527" s="74" t="s">
        <v>424</v>
      </c>
      <c r="C527" s="81">
        <v>16500.003280000001</v>
      </c>
    </row>
    <row r="528" spans="1:3" x14ac:dyDescent="0.2">
      <c r="A528" s="90" t="s">
        <v>315</v>
      </c>
      <c r="B528" s="74" t="s">
        <v>424</v>
      </c>
      <c r="C528" s="81">
        <v>16500.003280000001</v>
      </c>
    </row>
    <row r="529" spans="1:3" x14ac:dyDescent="0.2">
      <c r="A529" s="90" t="s">
        <v>315</v>
      </c>
      <c r="B529" s="74" t="s">
        <v>424</v>
      </c>
      <c r="C529" s="81">
        <v>16500.003280000001</v>
      </c>
    </row>
    <row r="530" spans="1:3" x14ac:dyDescent="0.2">
      <c r="A530" s="90" t="s">
        <v>315</v>
      </c>
      <c r="B530" s="74" t="s">
        <v>424</v>
      </c>
      <c r="C530" s="81">
        <v>16500.003280000001</v>
      </c>
    </row>
    <row r="531" spans="1:3" x14ac:dyDescent="0.2">
      <c r="A531" s="90" t="s">
        <v>315</v>
      </c>
      <c r="B531" s="74" t="s">
        <v>424</v>
      </c>
      <c r="C531" s="81">
        <v>16500.003280000001</v>
      </c>
    </row>
    <row r="532" spans="1:3" x14ac:dyDescent="0.2">
      <c r="A532" s="90" t="s">
        <v>315</v>
      </c>
      <c r="B532" s="74" t="s">
        <v>424</v>
      </c>
      <c r="C532" s="81">
        <v>16500.003280000001</v>
      </c>
    </row>
    <row r="533" spans="1:3" x14ac:dyDescent="0.2">
      <c r="A533" s="90" t="s">
        <v>315</v>
      </c>
      <c r="B533" s="74" t="s">
        <v>424</v>
      </c>
      <c r="C533" s="81">
        <v>16500.003280000001</v>
      </c>
    </row>
    <row r="534" spans="1:3" x14ac:dyDescent="0.2">
      <c r="A534" s="90" t="s">
        <v>315</v>
      </c>
      <c r="B534" s="74" t="s">
        <v>424</v>
      </c>
      <c r="C534" s="81">
        <v>16500.003280000001</v>
      </c>
    </row>
    <row r="535" spans="1:3" x14ac:dyDescent="0.2">
      <c r="A535" s="90" t="s">
        <v>315</v>
      </c>
      <c r="B535" s="74" t="s">
        <v>424</v>
      </c>
      <c r="C535" s="81">
        <v>16500.003280000001</v>
      </c>
    </row>
    <row r="536" spans="1:3" x14ac:dyDescent="0.2">
      <c r="A536" s="90" t="s">
        <v>315</v>
      </c>
      <c r="B536" s="74" t="s">
        <v>424</v>
      </c>
      <c r="C536" s="81">
        <v>16500.003280000001</v>
      </c>
    </row>
    <row r="537" spans="1:3" x14ac:dyDescent="0.2">
      <c r="A537" s="90" t="s">
        <v>315</v>
      </c>
      <c r="B537" s="74" t="s">
        <v>424</v>
      </c>
      <c r="C537" s="81">
        <v>16500.003280000001</v>
      </c>
    </row>
    <row r="538" spans="1:3" x14ac:dyDescent="0.2">
      <c r="A538" s="90" t="s">
        <v>315</v>
      </c>
      <c r="B538" s="74" t="s">
        <v>424</v>
      </c>
      <c r="C538" s="81">
        <v>16500.003280000001</v>
      </c>
    </row>
    <row r="539" spans="1:3" x14ac:dyDescent="0.2">
      <c r="A539" s="90" t="s">
        <v>315</v>
      </c>
      <c r="B539" s="74" t="s">
        <v>424</v>
      </c>
      <c r="C539" s="81">
        <v>16500.003280000001</v>
      </c>
    </row>
    <row r="540" spans="1:3" x14ac:dyDescent="0.2">
      <c r="A540" s="90" t="s">
        <v>315</v>
      </c>
      <c r="B540" s="74" t="s">
        <v>424</v>
      </c>
      <c r="C540" s="81">
        <v>16500.003280000001</v>
      </c>
    </row>
    <row r="541" spans="1:3" x14ac:dyDescent="0.2">
      <c r="A541" s="90" t="s">
        <v>315</v>
      </c>
      <c r="B541" s="74" t="s">
        <v>424</v>
      </c>
      <c r="C541" s="81">
        <v>16500.003280000001</v>
      </c>
    </row>
    <row r="542" spans="1:3" x14ac:dyDescent="0.2">
      <c r="A542" s="90" t="s">
        <v>315</v>
      </c>
      <c r="B542" s="74" t="s">
        <v>424</v>
      </c>
      <c r="C542" s="81">
        <v>16500.003280000001</v>
      </c>
    </row>
    <row r="543" spans="1:3" x14ac:dyDescent="0.2">
      <c r="A543" s="90" t="s">
        <v>315</v>
      </c>
      <c r="B543" s="74" t="s">
        <v>424</v>
      </c>
      <c r="C543" s="81">
        <v>16500.003280000001</v>
      </c>
    </row>
    <row r="544" spans="1:3" x14ac:dyDescent="0.2">
      <c r="A544" s="90" t="s">
        <v>315</v>
      </c>
      <c r="B544" s="74" t="s">
        <v>424</v>
      </c>
      <c r="C544" s="81">
        <v>16500.003280000001</v>
      </c>
    </row>
    <row r="545" spans="1:3" x14ac:dyDescent="0.2">
      <c r="A545" s="90" t="s">
        <v>315</v>
      </c>
      <c r="B545" s="74" t="s">
        <v>424</v>
      </c>
      <c r="C545" s="81">
        <v>16500.003280000001</v>
      </c>
    </row>
    <row r="546" spans="1:3" x14ac:dyDescent="0.2">
      <c r="A546" s="90" t="s">
        <v>315</v>
      </c>
      <c r="B546" s="74" t="s">
        <v>424</v>
      </c>
      <c r="C546" s="81">
        <v>16500.003280000001</v>
      </c>
    </row>
    <row r="547" spans="1:3" x14ac:dyDescent="0.2">
      <c r="A547" s="90" t="s">
        <v>315</v>
      </c>
      <c r="B547" s="74" t="s">
        <v>424</v>
      </c>
      <c r="C547" s="81">
        <v>16500.003280000001</v>
      </c>
    </row>
    <row r="548" spans="1:3" x14ac:dyDescent="0.2">
      <c r="A548" s="90" t="s">
        <v>315</v>
      </c>
      <c r="B548" s="74" t="s">
        <v>424</v>
      </c>
      <c r="C548" s="81">
        <v>16500.003280000001</v>
      </c>
    </row>
    <row r="549" spans="1:3" x14ac:dyDescent="0.2">
      <c r="A549" s="90" t="s">
        <v>315</v>
      </c>
      <c r="B549" s="74" t="s">
        <v>424</v>
      </c>
      <c r="C549" s="81">
        <v>16500.003280000001</v>
      </c>
    </row>
    <row r="550" spans="1:3" x14ac:dyDescent="0.2">
      <c r="A550" s="90" t="s">
        <v>315</v>
      </c>
      <c r="B550" s="74" t="s">
        <v>424</v>
      </c>
      <c r="C550" s="81">
        <v>16500.003280000001</v>
      </c>
    </row>
    <row r="551" spans="1:3" x14ac:dyDescent="0.2">
      <c r="A551" s="90" t="s">
        <v>315</v>
      </c>
      <c r="B551" s="74" t="s">
        <v>424</v>
      </c>
      <c r="C551" s="81">
        <v>16500.003280000001</v>
      </c>
    </row>
    <row r="552" spans="1:3" x14ac:dyDescent="0.2">
      <c r="A552" s="90" t="s">
        <v>315</v>
      </c>
      <c r="B552" s="74" t="s">
        <v>424</v>
      </c>
      <c r="C552" s="81">
        <v>16500.003280000001</v>
      </c>
    </row>
    <row r="553" spans="1:3" x14ac:dyDescent="0.2">
      <c r="A553" s="90" t="s">
        <v>315</v>
      </c>
      <c r="B553" s="74" t="s">
        <v>424</v>
      </c>
      <c r="C553" s="81">
        <v>16500.003280000001</v>
      </c>
    </row>
    <row r="554" spans="1:3" x14ac:dyDescent="0.2">
      <c r="A554" s="90" t="s">
        <v>315</v>
      </c>
      <c r="B554" s="74" t="s">
        <v>424</v>
      </c>
      <c r="C554" s="81">
        <v>16500.003280000001</v>
      </c>
    </row>
    <row r="555" spans="1:3" x14ac:dyDescent="0.2">
      <c r="A555" s="90" t="s">
        <v>315</v>
      </c>
      <c r="B555" s="74" t="s">
        <v>424</v>
      </c>
      <c r="C555" s="81">
        <v>16500.003280000001</v>
      </c>
    </row>
    <row r="556" spans="1:3" x14ac:dyDescent="0.2">
      <c r="A556" s="90" t="s">
        <v>315</v>
      </c>
      <c r="B556" s="74" t="s">
        <v>424</v>
      </c>
      <c r="C556" s="81">
        <v>16500.003280000001</v>
      </c>
    </row>
    <row r="557" spans="1:3" x14ac:dyDescent="0.2">
      <c r="A557" s="90" t="s">
        <v>315</v>
      </c>
      <c r="B557" s="74" t="s">
        <v>424</v>
      </c>
      <c r="C557" s="81">
        <v>16500.003280000001</v>
      </c>
    </row>
    <row r="558" spans="1:3" x14ac:dyDescent="0.2">
      <c r="A558" s="90" t="s">
        <v>315</v>
      </c>
      <c r="B558" s="74" t="s">
        <v>424</v>
      </c>
      <c r="C558" s="81">
        <v>16500.003280000001</v>
      </c>
    </row>
    <row r="559" spans="1:3" x14ac:dyDescent="0.2">
      <c r="A559" s="90" t="s">
        <v>315</v>
      </c>
      <c r="B559" s="74" t="s">
        <v>424</v>
      </c>
      <c r="C559" s="81">
        <v>16500.003280000001</v>
      </c>
    </row>
    <row r="560" spans="1:3" x14ac:dyDescent="0.2">
      <c r="A560" s="90" t="s">
        <v>315</v>
      </c>
      <c r="B560" s="74" t="s">
        <v>424</v>
      </c>
      <c r="C560" s="81">
        <v>16500.003280000001</v>
      </c>
    </row>
    <row r="561" spans="1:3" x14ac:dyDescent="0.2">
      <c r="A561" s="90" t="s">
        <v>315</v>
      </c>
      <c r="B561" s="74" t="s">
        <v>424</v>
      </c>
      <c r="C561" s="81">
        <v>16500.003280000001</v>
      </c>
    </row>
    <row r="562" spans="1:3" x14ac:dyDescent="0.2">
      <c r="A562" s="90" t="s">
        <v>315</v>
      </c>
      <c r="B562" s="74" t="s">
        <v>424</v>
      </c>
      <c r="C562" s="81">
        <v>16500.003280000001</v>
      </c>
    </row>
    <row r="563" spans="1:3" x14ac:dyDescent="0.2">
      <c r="A563" s="90" t="s">
        <v>315</v>
      </c>
      <c r="B563" s="74" t="s">
        <v>424</v>
      </c>
      <c r="C563" s="81">
        <v>16500.003280000001</v>
      </c>
    </row>
    <row r="564" spans="1:3" x14ac:dyDescent="0.2">
      <c r="A564" s="90" t="s">
        <v>315</v>
      </c>
      <c r="B564" s="74" t="s">
        <v>424</v>
      </c>
      <c r="C564" s="81">
        <v>16500.003280000001</v>
      </c>
    </row>
    <row r="565" spans="1:3" x14ac:dyDescent="0.2">
      <c r="A565" s="90" t="s">
        <v>315</v>
      </c>
      <c r="B565" s="74" t="s">
        <v>424</v>
      </c>
      <c r="C565" s="81">
        <v>16500.003280000001</v>
      </c>
    </row>
    <row r="566" spans="1:3" x14ac:dyDescent="0.2">
      <c r="A566" s="90" t="s">
        <v>315</v>
      </c>
      <c r="B566" s="74" t="s">
        <v>424</v>
      </c>
      <c r="C566" s="81">
        <v>16500.003280000001</v>
      </c>
    </row>
    <row r="567" spans="1:3" x14ac:dyDescent="0.2">
      <c r="A567" s="90" t="s">
        <v>315</v>
      </c>
      <c r="B567" s="74" t="s">
        <v>424</v>
      </c>
      <c r="C567" s="81">
        <v>16500.003280000001</v>
      </c>
    </row>
    <row r="568" spans="1:3" x14ac:dyDescent="0.2">
      <c r="A568" s="90" t="s">
        <v>315</v>
      </c>
      <c r="B568" s="74" t="s">
        <v>424</v>
      </c>
      <c r="C568" s="81">
        <v>16500.003280000001</v>
      </c>
    </row>
    <row r="569" spans="1:3" ht="25.5" x14ac:dyDescent="0.2">
      <c r="A569" s="90" t="s">
        <v>315</v>
      </c>
      <c r="B569" s="74" t="s">
        <v>425</v>
      </c>
      <c r="C569" s="81">
        <v>12270.084999999999</v>
      </c>
    </row>
    <row r="570" spans="1:3" ht="25.5" x14ac:dyDescent="0.2">
      <c r="A570" s="90" t="s">
        <v>315</v>
      </c>
      <c r="B570" s="74" t="s">
        <v>425</v>
      </c>
      <c r="C570" s="81">
        <v>12270.084000000001</v>
      </c>
    </row>
    <row r="571" spans="1:3" ht="63.75" x14ac:dyDescent="0.2">
      <c r="A571" s="90" t="s">
        <v>315</v>
      </c>
      <c r="B571" s="74" t="s">
        <v>426</v>
      </c>
      <c r="C571" s="81">
        <v>13556.92</v>
      </c>
    </row>
    <row r="572" spans="1:3" ht="38.25" x14ac:dyDescent="0.2">
      <c r="A572" s="90" t="s">
        <v>315</v>
      </c>
      <c r="B572" s="74" t="s">
        <v>427</v>
      </c>
      <c r="C572" s="81">
        <v>11870</v>
      </c>
    </row>
    <row r="573" spans="1:3" ht="38.25" x14ac:dyDescent="0.2">
      <c r="A573" s="90" t="s">
        <v>315</v>
      </c>
      <c r="B573" s="74" t="s">
        <v>427</v>
      </c>
      <c r="C573" s="81">
        <v>11870</v>
      </c>
    </row>
    <row r="574" spans="1:3" ht="38.25" x14ac:dyDescent="0.2">
      <c r="A574" s="90" t="s">
        <v>315</v>
      </c>
      <c r="B574" s="74" t="s">
        <v>427</v>
      </c>
      <c r="C574" s="81">
        <v>11870</v>
      </c>
    </row>
    <row r="575" spans="1:3" x14ac:dyDescent="0.2">
      <c r="A575" s="90" t="s">
        <v>315</v>
      </c>
      <c r="B575" s="74" t="s">
        <v>428</v>
      </c>
      <c r="C575" s="81">
        <v>32999</v>
      </c>
    </row>
    <row r="576" spans="1:3" ht="25.5" x14ac:dyDescent="0.2">
      <c r="A576" s="90" t="s">
        <v>315</v>
      </c>
      <c r="B576" s="74" t="s">
        <v>429</v>
      </c>
      <c r="C576" s="81">
        <v>9455.56</v>
      </c>
    </row>
    <row r="577" spans="1:3" ht="25.5" x14ac:dyDescent="0.2">
      <c r="A577" s="90" t="s">
        <v>315</v>
      </c>
      <c r="B577" s="74" t="s">
        <v>429</v>
      </c>
      <c r="C577" s="81">
        <v>9455.56</v>
      </c>
    </row>
    <row r="578" spans="1:3" ht="25.5" x14ac:dyDescent="0.2">
      <c r="A578" s="90" t="s">
        <v>315</v>
      </c>
      <c r="B578" s="74" t="s">
        <v>429</v>
      </c>
      <c r="C578" s="81">
        <v>9455.56</v>
      </c>
    </row>
    <row r="579" spans="1:3" ht="25.5" x14ac:dyDescent="0.2">
      <c r="A579" s="90" t="s">
        <v>315</v>
      </c>
      <c r="B579" s="74" t="s">
        <v>429</v>
      </c>
      <c r="C579" s="81">
        <v>9455.56</v>
      </c>
    </row>
    <row r="580" spans="1:3" ht="25.5" x14ac:dyDescent="0.2">
      <c r="A580" s="90" t="s">
        <v>315</v>
      </c>
      <c r="B580" s="74" t="s">
        <v>430</v>
      </c>
      <c r="C580" s="81">
        <v>9455.5499999999993</v>
      </c>
    </row>
    <row r="581" spans="1:3" ht="25.5" x14ac:dyDescent="0.2">
      <c r="A581" s="90" t="s">
        <v>315</v>
      </c>
      <c r="B581" s="74" t="s">
        <v>431</v>
      </c>
      <c r="C581" s="81">
        <v>9455.56</v>
      </c>
    </row>
    <row r="582" spans="1:3" ht="25.5" x14ac:dyDescent="0.2">
      <c r="A582" s="90" t="s">
        <v>315</v>
      </c>
      <c r="B582" s="74" t="s">
        <v>432</v>
      </c>
      <c r="C582" s="81">
        <v>9455.5499999999993</v>
      </c>
    </row>
    <row r="583" spans="1:3" ht="25.5" x14ac:dyDescent="0.2">
      <c r="A583" s="90" t="s">
        <v>315</v>
      </c>
      <c r="B583" s="74" t="s">
        <v>433</v>
      </c>
      <c r="C583" s="81">
        <v>9455.5499999999993</v>
      </c>
    </row>
    <row r="584" spans="1:3" ht="25.5" x14ac:dyDescent="0.2">
      <c r="A584" s="90" t="s">
        <v>315</v>
      </c>
      <c r="B584" s="74" t="s">
        <v>434</v>
      </c>
      <c r="C584" s="81">
        <v>9455.5499999999993</v>
      </c>
    </row>
    <row r="585" spans="1:3" ht="25.5" x14ac:dyDescent="0.2">
      <c r="A585" s="90" t="s">
        <v>315</v>
      </c>
      <c r="B585" s="74" t="s">
        <v>435</v>
      </c>
      <c r="C585" s="81">
        <v>21000</v>
      </c>
    </row>
    <row r="586" spans="1:3" ht="39.75" customHeight="1" x14ac:dyDescent="0.2">
      <c r="A586" s="90" t="s">
        <v>315</v>
      </c>
      <c r="B586" s="74" t="s">
        <v>436</v>
      </c>
      <c r="C586" s="81">
        <v>54439</v>
      </c>
    </row>
    <row r="587" spans="1:3" ht="93.75" customHeight="1" x14ac:dyDescent="0.2">
      <c r="A587" s="90" t="s">
        <v>315</v>
      </c>
      <c r="B587" s="74" t="s">
        <v>1506</v>
      </c>
      <c r="C587" s="81">
        <v>140000</v>
      </c>
    </row>
    <row r="588" spans="1:3" ht="63.75" x14ac:dyDescent="0.2">
      <c r="A588" s="90" t="s">
        <v>315</v>
      </c>
      <c r="B588" s="74" t="s">
        <v>437</v>
      </c>
      <c r="C588" s="81">
        <v>102921</v>
      </c>
    </row>
    <row r="589" spans="1:3" ht="63.75" x14ac:dyDescent="0.2">
      <c r="A589" s="90" t="s">
        <v>315</v>
      </c>
      <c r="B589" s="74" t="s">
        <v>438</v>
      </c>
      <c r="C589" s="81">
        <v>149725</v>
      </c>
    </row>
    <row r="590" spans="1:3" ht="63.75" x14ac:dyDescent="0.2">
      <c r="A590" s="90" t="s">
        <v>315</v>
      </c>
      <c r="B590" s="74" t="s">
        <v>439</v>
      </c>
      <c r="C590" s="81">
        <v>198600</v>
      </c>
    </row>
    <row r="591" spans="1:3" ht="63.75" x14ac:dyDescent="0.2">
      <c r="A591" s="90" t="s">
        <v>315</v>
      </c>
      <c r="B591" s="74" t="s">
        <v>439</v>
      </c>
      <c r="C591" s="81">
        <v>198600</v>
      </c>
    </row>
    <row r="592" spans="1:3" ht="63.75" x14ac:dyDescent="0.2">
      <c r="A592" s="90" t="s">
        <v>315</v>
      </c>
      <c r="B592" s="74" t="s">
        <v>439</v>
      </c>
      <c r="C592" s="81">
        <v>198600</v>
      </c>
    </row>
    <row r="593" spans="1:3" ht="25.5" x14ac:dyDescent="0.2">
      <c r="A593" s="90" t="s">
        <v>315</v>
      </c>
      <c r="B593" s="74" t="s">
        <v>440</v>
      </c>
      <c r="C593" s="81">
        <v>53572</v>
      </c>
    </row>
    <row r="594" spans="1:3" ht="25.5" x14ac:dyDescent="0.2">
      <c r="A594" s="90" t="s">
        <v>315</v>
      </c>
      <c r="B594" s="74" t="s">
        <v>440</v>
      </c>
      <c r="C594" s="81">
        <v>53572</v>
      </c>
    </row>
    <row r="595" spans="1:3" ht="25.5" x14ac:dyDescent="0.2">
      <c r="A595" s="90" t="s">
        <v>315</v>
      </c>
      <c r="B595" s="74" t="s">
        <v>440</v>
      </c>
      <c r="C595" s="81">
        <v>53572</v>
      </c>
    </row>
    <row r="596" spans="1:3" ht="25.5" x14ac:dyDescent="0.2">
      <c r="A596" s="90" t="s">
        <v>315</v>
      </c>
      <c r="B596" s="74" t="s">
        <v>440</v>
      </c>
      <c r="C596" s="81">
        <v>53572</v>
      </c>
    </row>
    <row r="597" spans="1:3" ht="25.5" x14ac:dyDescent="0.2">
      <c r="A597" s="90" t="s">
        <v>315</v>
      </c>
      <c r="B597" s="74" t="s">
        <v>440</v>
      </c>
      <c r="C597" s="81">
        <v>53572</v>
      </c>
    </row>
    <row r="598" spans="1:3" ht="25.5" x14ac:dyDescent="0.2">
      <c r="A598" s="90" t="s">
        <v>315</v>
      </c>
      <c r="B598" s="74" t="s">
        <v>440</v>
      </c>
      <c r="C598" s="81">
        <v>53572</v>
      </c>
    </row>
    <row r="599" spans="1:3" ht="25.5" x14ac:dyDescent="0.2">
      <c r="A599" s="90" t="s">
        <v>315</v>
      </c>
      <c r="B599" s="74" t="s">
        <v>440</v>
      </c>
      <c r="C599" s="81">
        <v>53572</v>
      </c>
    </row>
    <row r="600" spans="1:3" ht="38.25" x14ac:dyDescent="0.2">
      <c r="A600" s="90" t="s">
        <v>315</v>
      </c>
      <c r="B600" s="74" t="s">
        <v>441</v>
      </c>
      <c r="C600" s="81">
        <v>71821</v>
      </c>
    </row>
    <row r="601" spans="1:3" ht="38.25" x14ac:dyDescent="0.2">
      <c r="A601" s="90" t="s">
        <v>315</v>
      </c>
      <c r="B601" s="74" t="s">
        <v>441</v>
      </c>
      <c r="C601" s="81">
        <v>71821</v>
      </c>
    </row>
    <row r="602" spans="1:3" ht="42.75" customHeight="1" x14ac:dyDescent="0.2">
      <c r="A602" s="90" t="s">
        <v>315</v>
      </c>
      <c r="B602" s="74" t="s">
        <v>442</v>
      </c>
      <c r="C602" s="81">
        <v>71821</v>
      </c>
    </row>
    <row r="603" spans="1:3" ht="29.25" customHeight="1" x14ac:dyDescent="0.2">
      <c r="A603" s="90" t="s">
        <v>315</v>
      </c>
      <c r="B603" s="74" t="s">
        <v>443</v>
      </c>
      <c r="C603" s="81">
        <v>71821</v>
      </c>
    </row>
    <row r="604" spans="1:3" ht="29.25" customHeight="1" x14ac:dyDescent="0.2">
      <c r="A604" s="90" t="s">
        <v>315</v>
      </c>
      <c r="B604" s="74" t="s">
        <v>443</v>
      </c>
      <c r="C604" s="81">
        <v>71821</v>
      </c>
    </row>
    <row r="605" spans="1:3" ht="28.5" customHeight="1" x14ac:dyDescent="0.2">
      <c r="A605" s="90" t="s">
        <v>315</v>
      </c>
      <c r="B605" s="74" t="s">
        <v>443</v>
      </c>
      <c r="C605" s="81">
        <v>71821</v>
      </c>
    </row>
    <row r="606" spans="1:3" ht="28.5" customHeight="1" x14ac:dyDescent="0.2">
      <c r="A606" s="90" t="s">
        <v>315</v>
      </c>
      <c r="B606" s="74" t="s">
        <v>443</v>
      </c>
      <c r="C606" s="81">
        <v>71821</v>
      </c>
    </row>
    <row r="607" spans="1:3" ht="30" customHeight="1" x14ac:dyDescent="0.2">
      <c r="A607" s="90" t="s">
        <v>315</v>
      </c>
      <c r="B607" s="74" t="s">
        <v>444</v>
      </c>
      <c r="C607" s="81">
        <v>18442</v>
      </c>
    </row>
    <row r="608" spans="1:3" ht="30" customHeight="1" x14ac:dyDescent="0.2">
      <c r="A608" s="90" t="s">
        <v>315</v>
      </c>
      <c r="B608" s="74" t="s">
        <v>444</v>
      </c>
      <c r="C608" s="81">
        <v>18442</v>
      </c>
    </row>
    <row r="609" spans="1:3" ht="29.25" customHeight="1" x14ac:dyDescent="0.2">
      <c r="A609" s="90" t="s">
        <v>315</v>
      </c>
      <c r="B609" s="74" t="s">
        <v>444</v>
      </c>
      <c r="C609" s="81">
        <v>18442</v>
      </c>
    </row>
    <row r="610" spans="1:3" ht="27.75" customHeight="1" x14ac:dyDescent="0.2">
      <c r="A610" s="90" t="s">
        <v>315</v>
      </c>
      <c r="B610" s="74" t="s">
        <v>444</v>
      </c>
      <c r="C610" s="81">
        <v>18442</v>
      </c>
    </row>
    <row r="611" spans="1:3" ht="29.25" customHeight="1" x14ac:dyDescent="0.2">
      <c r="A611" s="90" t="s">
        <v>315</v>
      </c>
      <c r="B611" s="74" t="s">
        <v>444</v>
      </c>
      <c r="C611" s="81">
        <v>18442</v>
      </c>
    </row>
    <row r="612" spans="1:3" ht="28.5" customHeight="1" x14ac:dyDescent="0.2">
      <c r="A612" s="90" t="s">
        <v>315</v>
      </c>
      <c r="B612" s="74" t="s">
        <v>444</v>
      </c>
      <c r="C612" s="81">
        <v>18442</v>
      </c>
    </row>
    <row r="613" spans="1:3" ht="30.75" customHeight="1" x14ac:dyDescent="0.2">
      <c r="A613" s="90" t="s">
        <v>315</v>
      </c>
      <c r="B613" s="74" t="s">
        <v>444</v>
      </c>
      <c r="C613" s="81">
        <v>18442</v>
      </c>
    </row>
    <row r="614" spans="1:3" ht="30" customHeight="1" x14ac:dyDescent="0.2">
      <c r="A614" s="90" t="s">
        <v>315</v>
      </c>
      <c r="B614" s="74" t="s">
        <v>444</v>
      </c>
      <c r="C614" s="81">
        <v>18442</v>
      </c>
    </row>
    <row r="615" spans="1:3" ht="30" customHeight="1" x14ac:dyDescent="0.2">
      <c r="A615" s="90" t="s">
        <v>315</v>
      </c>
      <c r="B615" s="74" t="s">
        <v>444</v>
      </c>
      <c r="C615" s="81">
        <v>18442</v>
      </c>
    </row>
    <row r="616" spans="1:3" ht="30.75" customHeight="1" x14ac:dyDescent="0.2">
      <c r="A616" s="90" t="s">
        <v>315</v>
      </c>
      <c r="B616" s="74" t="s">
        <v>444</v>
      </c>
      <c r="C616" s="81">
        <v>18442</v>
      </c>
    </row>
    <row r="617" spans="1:3" ht="30.75" customHeight="1" x14ac:dyDescent="0.2">
      <c r="A617" s="90" t="s">
        <v>315</v>
      </c>
      <c r="B617" s="74" t="s">
        <v>444</v>
      </c>
      <c r="C617" s="81">
        <v>18442</v>
      </c>
    </row>
    <row r="618" spans="1:3" ht="29.25" customHeight="1" x14ac:dyDescent="0.2">
      <c r="A618" s="90" t="s">
        <v>315</v>
      </c>
      <c r="B618" s="74" t="s">
        <v>444</v>
      </c>
      <c r="C618" s="81">
        <v>18442</v>
      </c>
    </row>
    <row r="619" spans="1:3" ht="27" customHeight="1" x14ac:dyDescent="0.2">
      <c r="A619" s="90" t="s">
        <v>315</v>
      </c>
      <c r="B619" s="74" t="s">
        <v>444</v>
      </c>
      <c r="C619" s="81">
        <v>18442</v>
      </c>
    </row>
    <row r="620" spans="1:3" ht="27" customHeight="1" x14ac:dyDescent="0.2">
      <c r="A620" s="90" t="s">
        <v>315</v>
      </c>
      <c r="B620" s="74" t="s">
        <v>444</v>
      </c>
      <c r="C620" s="81">
        <v>18442</v>
      </c>
    </row>
    <row r="621" spans="1:3" x14ac:dyDescent="0.2">
      <c r="A621" s="90" t="s">
        <v>315</v>
      </c>
      <c r="B621" s="74" t="s">
        <v>445</v>
      </c>
      <c r="C621" s="81">
        <v>4131.57</v>
      </c>
    </row>
    <row r="622" spans="1:3" x14ac:dyDescent="0.2">
      <c r="A622" s="90" t="s">
        <v>315</v>
      </c>
      <c r="B622" s="74" t="s">
        <v>445</v>
      </c>
      <c r="C622" s="81">
        <v>4131.57</v>
      </c>
    </row>
    <row r="623" spans="1:3" x14ac:dyDescent="0.2">
      <c r="A623" s="90" t="s">
        <v>315</v>
      </c>
      <c r="B623" s="74" t="s">
        <v>445</v>
      </c>
      <c r="C623" s="81">
        <v>4131.57</v>
      </c>
    </row>
    <row r="624" spans="1:3" ht="25.5" x14ac:dyDescent="0.2">
      <c r="A624" s="90" t="s">
        <v>315</v>
      </c>
      <c r="B624" s="74" t="s">
        <v>446</v>
      </c>
      <c r="C624" s="81">
        <v>2790.71</v>
      </c>
    </row>
    <row r="625" spans="1:3" ht="25.5" x14ac:dyDescent="0.2">
      <c r="A625" s="90" t="s">
        <v>315</v>
      </c>
      <c r="B625" s="74" t="s">
        <v>446</v>
      </c>
      <c r="C625" s="81">
        <v>2790.71</v>
      </c>
    </row>
    <row r="626" spans="1:3" ht="25.5" x14ac:dyDescent="0.2">
      <c r="A626" s="90" t="s">
        <v>315</v>
      </c>
      <c r="B626" s="74" t="s">
        <v>446</v>
      </c>
      <c r="C626" s="81">
        <v>2790.71</v>
      </c>
    </row>
    <row r="627" spans="1:3" ht="25.5" x14ac:dyDescent="0.2">
      <c r="A627" s="90" t="s">
        <v>315</v>
      </c>
      <c r="B627" s="74" t="s">
        <v>446</v>
      </c>
      <c r="C627" s="81">
        <v>2790.71</v>
      </c>
    </row>
    <row r="628" spans="1:3" ht="25.5" x14ac:dyDescent="0.2">
      <c r="A628" s="90" t="s">
        <v>315</v>
      </c>
      <c r="B628" s="74" t="s">
        <v>446</v>
      </c>
      <c r="C628" s="81">
        <v>2790.71</v>
      </c>
    </row>
    <row r="629" spans="1:3" ht="25.5" x14ac:dyDescent="0.2">
      <c r="A629" s="90" t="s">
        <v>315</v>
      </c>
      <c r="B629" s="74" t="s">
        <v>446</v>
      </c>
      <c r="C629" s="81">
        <v>2790.71</v>
      </c>
    </row>
    <row r="630" spans="1:3" ht="25.5" x14ac:dyDescent="0.2">
      <c r="A630" s="90" t="s">
        <v>315</v>
      </c>
      <c r="B630" s="74" t="s">
        <v>446</v>
      </c>
      <c r="C630" s="81">
        <v>2790.71</v>
      </c>
    </row>
    <row r="631" spans="1:3" ht="25.5" x14ac:dyDescent="0.2">
      <c r="A631" s="90" t="s">
        <v>315</v>
      </c>
      <c r="B631" s="74" t="s">
        <v>446</v>
      </c>
      <c r="C631" s="81">
        <v>2790.71</v>
      </c>
    </row>
    <row r="632" spans="1:3" ht="25.5" x14ac:dyDescent="0.2">
      <c r="A632" s="90" t="s">
        <v>315</v>
      </c>
      <c r="B632" s="74" t="s">
        <v>446</v>
      </c>
      <c r="C632" s="81">
        <v>2790.71</v>
      </c>
    </row>
    <row r="633" spans="1:3" ht="25.5" x14ac:dyDescent="0.2">
      <c r="A633" s="90" t="s">
        <v>315</v>
      </c>
      <c r="B633" s="74" t="s">
        <v>446</v>
      </c>
      <c r="C633" s="81">
        <v>2790.71</v>
      </c>
    </row>
    <row r="634" spans="1:3" ht="25.5" x14ac:dyDescent="0.2">
      <c r="A634" s="90" t="s">
        <v>315</v>
      </c>
      <c r="B634" s="74" t="s">
        <v>446</v>
      </c>
      <c r="C634" s="81">
        <v>2790.71</v>
      </c>
    </row>
    <row r="635" spans="1:3" ht="25.5" x14ac:dyDescent="0.2">
      <c r="A635" s="90" t="s">
        <v>315</v>
      </c>
      <c r="B635" s="74" t="s">
        <v>446</v>
      </c>
      <c r="C635" s="81">
        <v>2790.71</v>
      </c>
    </row>
    <row r="636" spans="1:3" ht="25.5" x14ac:dyDescent="0.2">
      <c r="A636" s="90" t="s">
        <v>315</v>
      </c>
      <c r="B636" s="74" t="s">
        <v>446</v>
      </c>
      <c r="C636" s="81">
        <v>2790.71</v>
      </c>
    </row>
    <row r="637" spans="1:3" ht="25.5" x14ac:dyDescent="0.2">
      <c r="A637" s="90" t="s">
        <v>315</v>
      </c>
      <c r="B637" s="74" t="s">
        <v>447</v>
      </c>
      <c r="C637" s="81">
        <v>6054.36</v>
      </c>
    </row>
    <row r="638" spans="1:3" ht="25.5" x14ac:dyDescent="0.2">
      <c r="A638" s="90" t="s">
        <v>315</v>
      </c>
      <c r="B638" s="74" t="s">
        <v>447</v>
      </c>
      <c r="C638" s="81">
        <v>6054.36</v>
      </c>
    </row>
    <row r="639" spans="1:3" ht="25.5" x14ac:dyDescent="0.2">
      <c r="A639" s="90" t="s">
        <v>315</v>
      </c>
      <c r="B639" s="74" t="s">
        <v>447</v>
      </c>
      <c r="C639" s="81">
        <v>6054.38</v>
      </c>
    </row>
    <row r="640" spans="1:3" ht="25.5" x14ac:dyDescent="0.2">
      <c r="A640" s="90" t="s">
        <v>315</v>
      </c>
      <c r="B640" s="74" t="s">
        <v>448</v>
      </c>
      <c r="C640" s="81">
        <v>3294.77</v>
      </c>
    </row>
    <row r="641" spans="1:3" ht="25.5" x14ac:dyDescent="0.2">
      <c r="A641" s="90" t="s">
        <v>315</v>
      </c>
      <c r="B641" s="74" t="s">
        <v>448</v>
      </c>
      <c r="C641" s="81">
        <v>3294.77</v>
      </c>
    </row>
    <row r="642" spans="1:3" ht="25.5" x14ac:dyDescent="0.2">
      <c r="A642" s="90" t="s">
        <v>315</v>
      </c>
      <c r="B642" s="74" t="s">
        <v>448</v>
      </c>
      <c r="C642" s="81">
        <v>3294.77</v>
      </c>
    </row>
    <row r="643" spans="1:3" ht="25.5" x14ac:dyDescent="0.2">
      <c r="A643" s="90" t="s">
        <v>315</v>
      </c>
      <c r="B643" s="74" t="s">
        <v>448</v>
      </c>
      <c r="C643" s="81">
        <v>3294.77</v>
      </c>
    </row>
    <row r="644" spans="1:3" ht="25.5" x14ac:dyDescent="0.2">
      <c r="A644" s="90" t="s">
        <v>315</v>
      </c>
      <c r="B644" s="74" t="s">
        <v>448</v>
      </c>
      <c r="C644" s="81">
        <v>3294.77</v>
      </c>
    </row>
    <row r="645" spans="1:3" ht="25.5" x14ac:dyDescent="0.2">
      <c r="A645" s="90" t="s">
        <v>315</v>
      </c>
      <c r="B645" s="74" t="s">
        <v>448</v>
      </c>
      <c r="C645" s="81">
        <v>3294.77</v>
      </c>
    </row>
    <row r="646" spans="1:3" ht="25.5" x14ac:dyDescent="0.2">
      <c r="A646" s="90" t="s">
        <v>315</v>
      </c>
      <c r="B646" s="74" t="s">
        <v>448</v>
      </c>
      <c r="C646" s="81">
        <v>3294.77</v>
      </c>
    </row>
    <row r="647" spans="1:3" ht="25.5" x14ac:dyDescent="0.2">
      <c r="A647" s="90" t="s">
        <v>315</v>
      </c>
      <c r="B647" s="74" t="s">
        <v>448</v>
      </c>
      <c r="C647" s="81">
        <v>3294.77</v>
      </c>
    </row>
    <row r="648" spans="1:3" ht="25.5" x14ac:dyDescent="0.2">
      <c r="A648" s="90" t="s">
        <v>315</v>
      </c>
      <c r="B648" s="74" t="s">
        <v>448</v>
      </c>
      <c r="C648" s="81">
        <v>3294.77</v>
      </c>
    </row>
    <row r="649" spans="1:3" ht="25.5" x14ac:dyDescent="0.2">
      <c r="A649" s="90" t="s">
        <v>315</v>
      </c>
      <c r="B649" s="74" t="s">
        <v>448</v>
      </c>
      <c r="C649" s="81">
        <v>3294.77</v>
      </c>
    </row>
    <row r="650" spans="1:3" ht="25.5" x14ac:dyDescent="0.2">
      <c r="A650" s="90" t="s">
        <v>315</v>
      </c>
      <c r="B650" s="74" t="s">
        <v>448</v>
      </c>
      <c r="C650" s="81">
        <v>3294.77</v>
      </c>
    </row>
    <row r="651" spans="1:3" ht="25.5" x14ac:dyDescent="0.2">
      <c r="A651" s="90" t="s">
        <v>315</v>
      </c>
      <c r="B651" s="74" t="s">
        <v>448</v>
      </c>
      <c r="C651" s="81">
        <v>3294.77</v>
      </c>
    </row>
    <row r="652" spans="1:3" ht="25.5" x14ac:dyDescent="0.2">
      <c r="A652" s="90" t="s">
        <v>315</v>
      </c>
      <c r="B652" s="74" t="s">
        <v>448</v>
      </c>
      <c r="C652" s="81">
        <v>3294.77</v>
      </c>
    </row>
    <row r="653" spans="1:3" ht="25.5" x14ac:dyDescent="0.2">
      <c r="A653" s="90" t="s">
        <v>315</v>
      </c>
      <c r="B653" s="74" t="s">
        <v>448</v>
      </c>
      <c r="C653" s="81">
        <v>3294.77</v>
      </c>
    </row>
    <row r="654" spans="1:3" ht="25.5" x14ac:dyDescent="0.2">
      <c r="A654" s="90" t="s">
        <v>315</v>
      </c>
      <c r="B654" s="74" t="s">
        <v>448</v>
      </c>
      <c r="C654" s="81">
        <v>3294.77</v>
      </c>
    </row>
    <row r="655" spans="1:3" ht="25.5" x14ac:dyDescent="0.2">
      <c r="A655" s="90" t="s">
        <v>315</v>
      </c>
      <c r="B655" s="74" t="s">
        <v>448</v>
      </c>
      <c r="C655" s="81">
        <v>3294.77</v>
      </c>
    </row>
    <row r="656" spans="1:3" ht="25.5" x14ac:dyDescent="0.2">
      <c r="A656" s="90" t="s">
        <v>315</v>
      </c>
      <c r="B656" s="74" t="s">
        <v>448</v>
      </c>
      <c r="C656" s="81">
        <v>3294.77</v>
      </c>
    </row>
    <row r="657" spans="1:3" ht="25.5" x14ac:dyDescent="0.2">
      <c r="A657" s="90" t="s">
        <v>315</v>
      </c>
      <c r="B657" s="74" t="s">
        <v>448</v>
      </c>
      <c r="C657" s="81">
        <v>3294.77</v>
      </c>
    </row>
    <row r="658" spans="1:3" ht="25.5" x14ac:dyDescent="0.2">
      <c r="A658" s="90" t="s">
        <v>315</v>
      </c>
      <c r="B658" s="74" t="s">
        <v>448</v>
      </c>
      <c r="C658" s="81">
        <v>3294.77</v>
      </c>
    </row>
    <row r="659" spans="1:3" ht="24" x14ac:dyDescent="0.2">
      <c r="A659" s="90" t="s">
        <v>315</v>
      </c>
      <c r="B659" s="74" t="s">
        <v>449</v>
      </c>
      <c r="C659" s="81">
        <v>3294.71</v>
      </c>
    </row>
    <row r="660" spans="1:3" ht="25.5" x14ac:dyDescent="0.2">
      <c r="A660" s="90" t="s">
        <v>315</v>
      </c>
      <c r="B660" s="74" t="s">
        <v>448</v>
      </c>
      <c r="C660" s="81">
        <v>2204.25</v>
      </c>
    </row>
    <row r="661" spans="1:3" ht="25.5" x14ac:dyDescent="0.2">
      <c r="A661" s="90" t="s">
        <v>315</v>
      </c>
      <c r="B661" s="74" t="s">
        <v>450</v>
      </c>
      <c r="C661" s="81">
        <v>2204.25</v>
      </c>
    </row>
    <row r="662" spans="1:3" ht="25.5" x14ac:dyDescent="0.2">
      <c r="A662" s="90" t="s">
        <v>315</v>
      </c>
      <c r="B662" s="74" t="s">
        <v>451</v>
      </c>
      <c r="C662" s="81">
        <v>2204.25</v>
      </c>
    </row>
    <row r="663" spans="1:3" ht="25.5" x14ac:dyDescent="0.2">
      <c r="A663" s="90" t="s">
        <v>315</v>
      </c>
      <c r="B663" s="74" t="s">
        <v>452</v>
      </c>
      <c r="C663" s="81">
        <v>2204.25</v>
      </c>
    </row>
    <row r="664" spans="1:3" ht="25.5" x14ac:dyDescent="0.2">
      <c r="A664" s="90" t="s">
        <v>315</v>
      </c>
      <c r="B664" s="74" t="s">
        <v>453</v>
      </c>
      <c r="C664" s="81">
        <v>2204.25</v>
      </c>
    </row>
    <row r="665" spans="1:3" ht="25.5" x14ac:dyDescent="0.2">
      <c r="A665" s="90" t="s">
        <v>315</v>
      </c>
      <c r="B665" s="74" t="s">
        <v>454</v>
      </c>
      <c r="C665" s="81">
        <v>2204.25</v>
      </c>
    </row>
    <row r="666" spans="1:3" ht="25.5" x14ac:dyDescent="0.2">
      <c r="A666" s="90" t="s">
        <v>315</v>
      </c>
      <c r="B666" s="74" t="s">
        <v>455</v>
      </c>
      <c r="C666" s="81">
        <v>2204.25</v>
      </c>
    </row>
    <row r="667" spans="1:3" ht="25.5" x14ac:dyDescent="0.2">
      <c r="A667" s="90" t="s">
        <v>315</v>
      </c>
      <c r="B667" s="74" t="s">
        <v>456</v>
      </c>
      <c r="C667" s="81">
        <v>2204.25</v>
      </c>
    </row>
    <row r="668" spans="1:3" ht="25.5" x14ac:dyDescent="0.2">
      <c r="A668" s="90" t="s">
        <v>315</v>
      </c>
      <c r="B668" s="74" t="s">
        <v>457</v>
      </c>
      <c r="C668" s="81">
        <v>2204.25</v>
      </c>
    </row>
    <row r="669" spans="1:3" ht="25.5" x14ac:dyDescent="0.2">
      <c r="A669" s="90" t="s">
        <v>315</v>
      </c>
      <c r="B669" s="74" t="s">
        <v>458</v>
      </c>
      <c r="C669" s="81">
        <v>2204.25</v>
      </c>
    </row>
    <row r="670" spans="1:3" ht="25.5" x14ac:dyDescent="0.2">
      <c r="A670" s="90" t="s">
        <v>315</v>
      </c>
      <c r="B670" s="74" t="s">
        <v>459</v>
      </c>
      <c r="C670" s="81">
        <v>2204.25</v>
      </c>
    </row>
    <row r="671" spans="1:3" ht="25.5" x14ac:dyDescent="0.2">
      <c r="A671" s="90" t="s">
        <v>315</v>
      </c>
      <c r="B671" s="74" t="s">
        <v>460</v>
      </c>
      <c r="C671" s="81">
        <v>2204.25</v>
      </c>
    </row>
    <row r="672" spans="1:3" ht="25.5" x14ac:dyDescent="0.2">
      <c r="A672" s="90" t="s">
        <v>315</v>
      </c>
      <c r="B672" s="74" t="s">
        <v>461</v>
      </c>
      <c r="C672" s="81">
        <v>2204.25</v>
      </c>
    </row>
    <row r="673" spans="1:3" ht="25.5" x14ac:dyDescent="0.2">
      <c r="A673" s="90" t="s">
        <v>315</v>
      </c>
      <c r="B673" s="74" t="s">
        <v>462</v>
      </c>
      <c r="C673" s="81">
        <v>2204.25</v>
      </c>
    </row>
    <row r="674" spans="1:3" ht="25.5" x14ac:dyDescent="0.2">
      <c r="A674" s="90" t="s">
        <v>315</v>
      </c>
      <c r="B674" s="74" t="s">
        <v>463</v>
      </c>
      <c r="C674" s="81">
        <v>2204.25</v>
      </c>
    </row>
    <row r="675" spans="1:3" ht="25.5" x14ac:dyDescent="0.2">
      <c r="A675" s="90" t="s">
        <v>315</v>
      </c>
      <c r="B675" s="74" t="s">
        <v>464</v>
      </c>
      <c r="C675" s="81">
        <v>2204.25</v>
      </c>
    </row>
    <row r="676" spans="1:3" ht="25.5" x14ac:dyDescent="0.2">
      <c r="A676" s="90" t="s">
        <v>315</v>
      </c>
      <c r="B676" s="74" t="s">
        <v>465</v>
      </c>
      <c r="C676" s="81">
        <v>2204.25</v>
      </c>
    </row>
    <row r="677" spans="1:3" ht="25.5" x14ac:dyDescent="0.2">
      <c r="A677" s="90" t="s">
        <v>315</v>
      </c>
      <c r="B677" s="74" t="s">
        <v>466</v>
      </c>
      <c r="C677" s="81">
        <v>2204.25</v>
      </c>
    </row>
    <row r="678" spans="1:3" ht="25.5" x14ac:dyDescent="0.2">
      <c r="A678" s="90" t="s">
        <v>315</v>
      </c>
      <c r="B678" s="74" t="s">
        <v>467</v>
      </c>
      <c r="C678" s="81">
        <v>2204.25</v>
      </c>
    </row>
    <row r="679" spans="1:3" ht="25.5" x14ac:dyDescent="0.2">
      <c r="A679" s="90" t="s">
        <v>315</v>
      </c>
      <c r="B679" s="74" t="s">
        <v>468</v>
      </c>
      <c r="C679" s="81">
        <v>2204.19</v>
      </c>
    </row>
    <row r="680" spans="1:3" ht="25.5" x14ac:dyDescent="0.2">
      <c r="A680" s="90" t="s">
        <v>315</v>
      </c>
      <c r="B680" s="74" t="s">
        <v>469</v>
      </c>
      <c r="C680" s="81">
        <v>6499</v>
      </c>
    </row>
    <row r="681" spans="1:3" ht="25.5" x14ac:dyDescent="0.2">
      <c r="A681" s="90" t="s">
        <v>315</v>
      </c>
      <c r="B681" s="74" t="s">
        <v>469</v>
      </c>
      <c r="C681" s="81">
        <v>6499</v>
      </c>
    </row>
    <row r="682" spans="1:3" ht="25.5" x14ac:dyDescent="0.2">
      <c r="A682" s="90" t="s">
        <v>315</v>
      </c>
      <c r="B682" s="74" t="s">
        <v>469</v>
      </c>
      <c r="C682" s="81">
        <v>6499</v>
      </c>
    </row>
    <row r="683" spans="1:3" ht="25.5" x14ac:dyDescent="0.2">
      <c r="A683" s="90" t="s">
        <v>315</v>
      </c>
      <c r="B683" s="74" t="s">
        <v>469</v>
      </c>
      <c r="C683" s="81">
        <v>6499</v>
      </c>
    </row>
    <row r="684" spans="1:3" ht="25.5" x14ac:dyDescent="0.2">
      <c r="A684" s="90" t="s">
        <v>315</v>
      </c>
      <c r="B684" s="74" t="s">
        <v>470</v>
      </c>
      <c r="C684" s="81">
        <v>6499.02</v>
      </c>
    </row>
    <row r="685" spans="1:3" x14ac:dyDescent="0.2">
      <c r="A685" s="90" t="s">
        <v>315</v>
      </c>
      <c r="B685" s="74" t="s">
        <v>471</v>
      </c>
      <c r="C685" s="81">
        <v>5980</v>
      </c>
    </row>
    <row r="686" spans="1:3" x14ac:dyDescent="0.2">
      <c r="A686" s="90" t="s">
        <v>315</v>
      </c>
      <c r="B686" s="74" t="s">
        <v>472</v>
      </c>
      <c r="C686" s="81">
        <v>26580</v>
      </c>
    </row>
    <row r="687" spans="1:3" x14ac:dyDescent="0.2">
      <c r="A687" s="90" t="s">
        <v>315</v>
      </c>
      <c r="B687" s="74" t="s">
        <v>472</v>
      </c>
      <c r="C687" s="81">
        <v>26580</v>
      </c>
    </row>
    <row r="688" spans="1:3" x14ac:dyDescent="0.2">
      <c r="A688" s="90" t="s">
        <v>315</v>
      </c>
      <c r="B688" s="74" t="s">
        <v>472</v>
      </c>
      <c r="C688" s="81">
        <v>26580</v>
      </c>
    </row>
    <row r="689" spans="1:3" x14ac:dyDescent="0.2">
      <c r="A689" s="90" t="s">
        <v>315</v>
      </c>
      <c r="B689" s="74" t="s">
        <v>472</v>
      </c>
      <c r="C689" s="81">
        <v>26580</v>
      </c>
    </row>
    <row r="690" spans="1:3" x14ac:dyDescent="0.2">
      <c r="A690" s="90" t="s">
        <v>315</v>
      </c>
      <c r="B690" s="74" t="s">
        <v>472</v>
      </c>
      <c r="C690" s="81">
        <v>26580</v>
      </c>
    </row>
    <row r="691" spans="1:3" x14ac:dyDescent="0.2">
      <c r="A691" s="90" t="s">
        <v>315</v>
      </c>
      <c r="B691" s="74" t="s">
        <v>472</v>
      </c>
      <c r="C691" s="81">
        <v>26580</v>
      </c>
    </row>
    <row r="692" spans="1:3" x14ac:dyDescent="0.2">
      <c r="A692" s="90" t="s">
        <v>315</v>
      </c>
      <c r="B692" s="74" t="s">
        <v>473</v>
      </c>
      <c r="C692" s="81">
        <v>20000</v>
      </c>
    </row>
    <row r="693" spans="1:3" x14ac:dyDescent="0.2">
      <c r="A693" s="90" t="s">
        <v>315</v>
      </c>
      <c r="B693" s="74" t="s">
        <v>473</v>
      </c>
      <c r="C693" s="81">
        <v>20000</v>
      </c>
    </row>
    <row r="694" spans="1:3" x14ac:dyDescent="0.2">
      <c r="A694" s="90" t="s">
        <v>315</v>
      </c>
      <c r="B694" s="74" t="s">
        <v>473</v>
      </c>
      <c r="C694" s="81">
        <v>20000</v>
      </c>
    </row>
    <row r="695" spans="1:3" x14ac:dyDescent="0.2">
      <c r="A695" s="90" t="s">
        <v>315</v>
      </c>
      <c r="B695" s="74" t="s">
        <v>473</v>
      </c>
      <c r="C695" s="81">
        <v>20000</v>
      </c>
    </row>
    <row r="696" spans="1:3" x14ac:dyDescent="0.2">
      <c r="A696" s="90" t="s">
        <v>315</v>
      </c>
      <c r="B696" s="74" t="s">
        <v>473</v>
      </c>
      <c r="C696" s="81">
        <v>20000</v>
      </c>
    </row>
    <row r="697" spans="1:3" ht="38.25" x14ac:dyDescent="0.2">
      <c r="A697" s="90" t="s">
        <v>315</v>
      </c>
      <c r="B697" s="74" t="s">
        <v>474</v>
      </c>
      <c r="C697" s="81">
        <v>20000</v>
      </c>
    </row>
    <row r="698" spans="1:3" ht="25.5" x14ac:dyDescent="0.2">
      <c r="A698" s="90" t="s">
        <v>315</v>
      </c>
      <c r="B698" s="74" t="s">
        <v>475</v>
      </c>
      <c r="C698" s="81">
        <v>19850</v>
      </c>
    </row>
    <row r="699" spans="1:3" ht="25.5" x14ac:dyDescent="0.2">
      <c r="A699" s="90" t="s">
        <v>315</v>
      </c>
      <c r="B699" s="74" t="s">
        <v>476</v>
      </c>
      <c r="C699" s="81">
        <v>15750</v>
      </c>
    </row>
    <row r="700" spans="1:3" x14ac:dyDescent="0.2">
      <c r="A700" s="90" t="s">
        <v>315</v>
      </c>
      <c r="B700" s="74" t="s">
        <v>477</v>
      </c>
      <c r="C700" s="81">
        <v>6220</v>
      </c>
    </row>
    <row r="701" spans="1:3" x14ac:dyDescent="0.2">
      <c r="A701" s="90" t="s">
        <v>315</v>
      </c>
      <c r="B701" s="74" t="s">
        <v>283</v>
      </c>
      <c r="C701" s="81">
        <v>1799.02</v>
      </c>
    </row>
    <row r="702" spans="1:3" x14ac:dyDescent="0.2">
      <c r="A702" s="90" t="s">
        <v>315</v>
      </c>
      <c r="B702" s="74" t="s">
        <v>478</v>
      </c>
      <c r="C702" s="81">
        <v>8324</v>
      </c>
    </row>
    <row r="703" spans="1:3" x14ac:dyDescent="0.2">
      <c r="A703" s="90" t="s">
        <v>315</v>
      </c>
      <c r="B703" s="74" t="s">
        <v>479</v>
      </c>
      <c r="C703" s="81">
        <v>1998.99</v>
      </c>
    </row>
    <row r="704" spans="1:3" ht="38.25" x14ac:dyDescent="0.2">
      <c r="A704" s="90" t="s">
        <v>315</v>
      </c>
      <c r="B704" s="74" t="s">
        <v>480</v>
      </c>
      <c r="C704" s="81">
        <v>19999</v>
      </c>
    </row>
    <row r="705" spans="1:3" ht="38.25" x14ac:dyDescent="0.2">
      <c r="A705" s="90" t="s">
        <v>315</v>
      </c>
      <c r="B705" s="74" t="s">
        <v>480</v>
      </c>
      <c r="C705" s="81">
        <v>19999</v>
      </c>
    </row>
    <row r="706" spans="1:3" ht="15.95" customHeight="1" x14ac:dyDescent="0.2">
      <c r="A706" s="90" t="s">
        <v>315</v>
      </c>
      <c r="B706" s="74" t="s">
        <v>481</v>
      </c>
      <c r="C706" s="81">
        <v>20497.5</v>
      </c>
    </row>
    <row r="707" spans="1:3" ht="25.5" x14ac:dyDescent="0.2">
      <c r="A707" s="90" t="s">
        <v>315</v>
      </c>
      <c r="B707" s="74" t="s">
        <v>482</v>
      </c>
      <c r="C707" s="81">
        <v>13200</v>
      </c>
    </row>
    <row r="708" spans="1:3" ht="25.5" x14ac:dyDescent="0.2">
      <c r="A708" s="90" t="s">
        <v>315</v>
      </c>
      <c r="B708" s="74" t="s">
        <v>483</v>
      </c>
      <c r="C708" s="81">
        <v>3990</v>
      </c>
    </row>
    <row r="709" spans="1:3" ht="13.5" thickBot="1" x14ac:dyDescent="0.25">
      <c r="A709" s="63"/>
      <c r="B709" s="64"/>
      <c r="C709" s="64"/>
    </row>
    <row r="710" spans="1:3" ht="17.25" customHeight="1" x14ac:dyDescent="0.2">
      <c r="A710" s="65"/>
      <c r="B710" s="65"/>
      <c r="C710" s="65"/>
    </row>
    <row r="713" spans="1:3" x14ac:dyDescent="0.2">
      <c r="B713" s="54"/>
      <c r="C713" s="54"/>
    </row>
    <row r="714" spans="1:3" x14ac:dyDescent="0.2">
      <c r="B714" s="54"/>
      <c r="C714" s="54"/>
    </row>
    <row r="715" spans="1:3" x14ac:dyDescent="0.2">
      <c r="B715" s="54"/>
      <c r="C715" s="54"/>
    </row>
    <row r="716" spans="1:3" x14ac:dyDescent="0.2">
      <c r="B716" s="54"/>
      <c r="C716" s="54"/>
    </row>
    <row r="717" spans="1:3" x14ac:dyDescent="0.2">
      <c r="B717" s="54"/>
      <c r="C717" s="54"/>
    </row>
    <row r="718" spans="1:3" x14ac:dyDescent="0.2">
      <c r="B718" s="54"/>
      <c r="C718" s="54"/>
    </row>
    <row r="719" spans="1:3" x14ac:dyDescent="0.2">
      <c r="B719" s="54"/>
      <c r="C719" s="54"/>
    </row>
    <row r="720" spans="1:3" x14ac:dyDescent="0.2">
      <c r="B720" s="54"/>
      <c r="C720" s="54"/>
    </row>
    <row r="721" spans="1:3" x14ac:dyDescent="0.2">
      <c r="B721" s="54"/>
      <c r="C721" s="54"/>
    </row>
    <row r="722" spans="1:3" x14ac:dyDescent="0.2">
      <c r="B722" s="54"/>
      <c r="C722" s="54"/>
    </row>
    <row r="723" spans="1:3" x14ac:dyDescent="0.2">
      <c r="B723" s="54"/>
      <c r="C723" s="54"/>
    </row>
    <row r="724" spans="1:3" x14ac:dyDescent="0.2">
      <c r="B724" s="54"/>
      <c r="C724" s="54"/>
    </row>
    <row r="725" spans="1:3" x14ac:dyDescent="0.2">
      <c r="B725" s="54"/>
      <c r="C725" s="54"/>
    </row>
    <row r="726" spans="1:3" x14ac:dyDescent="0.2">
      <c r="B726" s="54"/>
      <c r="C726" s="54"/>
    </row>
    <row r="727" spans="1:3" x14ac:dyDescent="0.2">
      <c r="B727" s="54"/>
      <c r="C727" s="54"/>
    </row>
    <row r="728" spans="1:3" x14ac:dyDescent="0.2">
      <c r="A728" s="66"/>
    </row>
    <row r="729" spans="1:3" x14ac:dyDescent="0.2">
      <c r="A729" s="66"/>
      <c r="B729" s="67"/>
    </row>
    <row r="730" spans="1:3" ht="12.75" customHeight="1" x14ac:dyDescent="0.2">
      <c r="A730" s="66"/>
      <c r="B730" s="71"/>
      <c r="C730" s="71"/>
    </row>
    <row r="731" spans="1:3" ht="12.75" customHeight="1" x14ac:dyDescent="0.2">
      <c r="B731" s="71"/>
      <c r="C731" s="71"/>
    </row>
    <row r="742" s="68" customFormat="1" ht="11.25" x14ac:dyDescent="0.2"/>
  </sheetData>
  <mergeCells count="1">
    <mergeCell ref="C401:C409"/>
  </mergeCells>
  <printOptions horizontalCentered="1"/>
  <pageMargins left="0.35433070866141736" right="3.937007874015748E-2" top="0.51181102362204722" bottom="0.62992125984251968" header="0" footer="0"/>
  <pageSetup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3"/>
  <sheetViews>
    <sheetView showGridLines="0" zoomScaleNormal="100" workbookViewId="0">
      <pane ySplit="6" topLeftCell="A53" activePane="bottomLeft" state="frozen"/>
      <selection pane="bottomLeft" activeCell="C70" sqref="C70"/>
    </sheetView>
  </sheetViews>
  <sheetFormatPr baseColWidth="10" defaultRowHeight="12.75" x14ac:dyDescent="0.2"/>
  <cols>
    <col min="1" max="1" width="31.140625" style="50" customWidth="1"/>
    <col min="2" max="2" width="47.28515625" style="50" customWidth="1"/>
    <col min="3" max="3" width="34.85546875" style="50" customWidth="1"/>
    <col min="4" max="16384" width="11.42578125" style="50"/>
  </cols>
  <sheetData>
    <row r="1" spans="1:8" ht="15.75" customHeight="1" x14ac:dyDescent="0.25">
      <c r="A1" s="55"/>
      <c r="B1" s="55"/>
      <c r="C1" s="72" t="s">
        <v>150</v>
      </c>
      <c r="D1" s="53"/>
      <c r="E1" s="53"/>
      <c r="F1" s="53"/>
      <c r="G1" s="53"/>
      <c r="H1" s="53"/>
    </row>
    <row r="2" spans="1:8" ht="23.25" customHeight="1" x14ac:dyDescent="0.25">
      <c r="A2" s="51" t="s">
        <v>314</v>
      </c>
      <c r="B2" s="52"/>
      <c r="C2" s="52"/>
      <c r="D2" s="53"/>
      <c r="E2" s="53"/>
      <c r="F2" s="53"/>
      <c r="G2" s="53"/>
      <c r="H2" s="53"/>
    </row>
    <row r="3" spans="1:8" ht="15" x14ac:dyDescent="0.25">
      <c r="A3" s="51" t="s">
        <v>152</v>
      </c>
      <c r="B3" s="51"/>
      <c r="C3" s="51"/>
    </row>
    <row r="4" spans="1:8" ht="12.75" customHeight="1" x14ac:dyDescent="0.25">
      <c r="A4" s="56"/>
      <c r="B4" s="56"/>
      <c r="C4" s="56"/>
    </row>
    <row r="5" spans="1:8" ht="13.5" thickBot="1" x14ac:dyDescent="0.25">
      <c r="A5" s="57" t="s">
        <v>20</v>
      </c>
      <c r="B5" s="57" t="s">
        <v>21</v>
      </c>
      <c r="C5" s="57" t="s">
        <v>16</v>
      </c>
    </row>
    <row r="6" spans="1:8" ht="31.5" customHeight="1" thickBot="1" x14ac:dyDescent="0.25">
      <c r="A6" s="69" t="s">
        <v>148</v>
      </c>
      <c r="B6" s="70" t="s">
        <v>132</v>
      </c>
      <c r="C6" s="70" t="s">
        <v>149</v>
      </c>
    </row>
    <row r="7" spans="1:8" x14ac:dyDescent="0.2">
      <c r="A7" s="90" t="s">
        <v>484</v>
      </c>
      <c r="B7" s="74" t="s">
        <v>485</v>
      </c>
      <c r="C7" s="91">
        <f>17563.19*1.15</f>
        <v>20197.668499999996</v>
      </c>
    </row>
    <row r="8" spans="1:8" x14ac:dyDescent="0.2">
      <c r="A8" s="90" t="s">
        <v>484</v>
      </c>
      <c r="B8" s="74" t="s">
        <v>485</v>
      </c>
      <c r="C8" s="91">
        <f t="shared" ref="C8:C15" si="0">17563.19*1.15</f>
        <v>20197.668499999996</v>
      </c>
    </row>
    <row r="9" spans="1:8" x14ac:dyDescent="0.2">
      <c r="A9" s="90" t="s">
        <v>484</v>
      </c>
      <c r="B9" s="74" t="s">
        <v>485</v>
      </c>
      <c r="C9" s="91">
        <f t="shared" si="0"/>
        <v>20197.668499999996</v>
      </c>
    </row>
    <row r="10" spans="1:8" x14ac:dyDescent="0.2">
      <c r="A10" s="90" t="s">
        <v>484</v>
      </c>
      <c r="B10" s="74" t="s">
        <v>485</v>
      </c>
      <c r="C10" s="91">
        <f t="shared" si="0"/>
        <v>20197.668499999996</v>
      </c>
    </row>
    <row r="11" spans="1:8" x14ac:dyDescent="0.2">
      <c r="A11" s="90" t="s">
        <v>484</v>
      </c>
      <c r="B11" s="74" t="s">
        <v>485</v>
      </c>
      <c r="C11" s="91">
        <f t="shared" si="0"/>
        <v>20197.668499999996</v>
      </c>
    </row>
    <row r="12" spans="1:8" x14ac:dyDescent="0.2">
      <c r="A12" s="90" t="s">
        <v>484</v>
      </c>
      <c r="B12" s="74" t="s">
        <v>485</v>
      </c>
      <c r="C12" s="91">
        <f t="shared" si="0"/>
        <v>20197.668499999996</v>
      </c>
    </row>
    <row r="13" spans="1:8" x14ac:dyDescent="0.2">
      <c r="A13" s="90" t="s">
        <v>484</v>
      </c>
      <c r="B13" s="74" t="s">
        <v>485</v>
      </c>
      <c r="C13" s="91">
        <f t="shared" si="0"/>
        <v>20197.668499999996</v>
      </c>
    </row>
    <row r="14" spans="1:8" x14ac:dyDescent="0.2">
      <c r="A14" s="90" t="s">
        <v>484</v>
      </c>
      <c r="B14" s="74" t="s">
        <v>485</v>
      </c>
      <c r="C14" s="91">
        <f t="shared" si="0"/>
        <v>20197.668499999996</v>
      </c>
    </row>
    <row r="15" spans="1:8" x14ac:dyDescent="0.2">
      <c r="A15" s="90" t="s">
        <v>484</v>
      </c>
      <c r="B15" s="74" t="s">
        <v>485</v>
      </c>
      <c r="C15" s="91">
        <f t="shared" si="0"/>
        <v>20197.668499999996</v>
      </c>
    </row>
    <row r="16" spans="1:8" x14ac:dyDescent="0.2">
      <c r="A16" s="90" t="s">
        <v>484</v>
      </c>
      <c r="B16" s="74" t="s">
        <v>486</v>
      </c>
      <c r="C16" s="91">
        <f>38361*1.15</f>
        <v>44115.149999999994</v>
      </c>
    </row>
    <row r="17" spans="1:3" x14ac:dyDescent="0.2">
      <c r="A17" s="90" t="s">
        <v>484</v>
      </c>
      <c r="B17" s="74" t="s">
        <v>487</v>
      </c>
      <c r="C17" s="91">
        <f>973.28*1.15</f>
        <v>1119.2719999999999</v>
      </c>
    </row>
    <row r="18" spans="1:3" x14ac:dyDescent="0.2">
      <c r="A18" s="90" t="s">
        <v>484</v>
      </c>
      <c r="B18" s="74" t="s">
        <v>487</v>
      </c>
      <c r="C18" s="91">
        <f>973.28*1.15</f>
        <v>1119.2719999999999</v>
      </c>
    </row>
    <row r="19" spans="1:3" x14ac:dyDescent="0.2">
      <c r="A19" s="90" t="s">
        <v>484</v>
      </c>
      <c r="B19" s="74" t="s">
        <v>487</v>
      </c>
      <c r="C19" s="91">
        <f>973.28*1.15</f>
        <v>1119.2719999999999</v>
      </c>
    </row>
    <row r="20" spans="1:3" x14ac:dyDescent="0.2">
      <c r="A20" s="90" t="s">
        <v>484</v>
      </c>
      <c r="B20" s="74" t="s">
        <v>488</v>
      </c>
      <c r="C20" s="91">
        <f>371*1.15</f>
        <v>426.65</v>
      </c>
    </row>
    <row r="21" spans="1:3" x14ac:dyDescent="0.2">
      <c r="A21" s="90" t="s">
        <v>484</v>
      </c>
      <c r="B21" s="74" t="s">
        <v>488</v>
      </c>
      <c r="C21" s="91">
        <f>371*1.15</f>
        <v>426.65</v>
      </c>
    </row>
    <row r="22" spans="1:3" x14ac:dyDescent="0.2">
      <c r="A22" s="90" t="s">
        <v>484</v>
      </c>
      <c r="B22" s="74" t="s">
        <v>488</v>
      </c>
      <c r="C22" s="91">
        <f>371*1.15</f>
        <v>426.65</v>
      </c>
    </row>
    <row r="23" spans="1:3" x14ac:dyDescent="0.2">
      <c r="A23" s="90" t="s">
        <v>484</v>
      </c>
      <c r="B23" s="74" t="s">
        <v>488</v>
      </c>
      <c r="C23" s="91">
        <f>371*1.15</f>
        <v>426.65</v>
      </c>
    </row>
    <row r="24" spans="1:3" x14ac:dyDescent="0.2">
      <c r="A24" s="90" t="s">
        <v>484</v>
      </c>
      <c r="B24" s="74" t="s">
        <v>489</v>
      </c>
      <c r="C24" s="91">
        <f>266*1.15</f>
        <v>305.89999999999998</v>
      </c>
    </row>
    <row r="25" spans="1:3" x14ac:dyDescent="0.2">
      <c r="A25" s="90" t="s">
        <v>484</v>
      </c>
      <c r="B25" s="74" t="s">
        <v>489</v>
      </c>
      <c r="C25" s="91">
        <f>266*1.15</f>
        <v>305.89999999999998</v>
      </c>
    </row>
    <row r="26" spans="1:3" x14ac:dyDescent="0.2">
      <c r="A26" s="90" t="s">
        <v>484</v>
      </c>
      <c r="B26" s="74" t="s">
        <v>489</v>
      </c>
      <c r="C26" s="91">
        <f>266*1.15</f>
        <v>305.89999999999998</v>
      </c>
    </row>
    <row r="27" spans="1:3" x14ac:dyDescent="0.2">
      <c r="A27" s="90" t="s">
        <v>484</v>
      </c>
      <c r="B27" s="74" t="s">
        <v>489</v>
      </c>
      <c r="C27" s="91">
        <f>266*1.15</f>
        <v>305.89999999999998</v>
      </c>
    </row>
    <row r="28" spans="1:3" x14ac:dyDescent="0.2">
      <c r="A28" s="90" t="s">
        <v>484</v>
      </c>
      <c r="B28" s="74" t="s">
        <v>490</v>
      </c>
      <c r="C28" s="91">
        <f>22882.79*1.15</f>
        <v>26315.208500000001</v>
      </c>
    </row>
    <row r="29" spans="1:3" x14ac:dyDescent="0.2">
      <c r="A29" s="90" t="s">
        <v>484</v>
      </c>
      <c r="B29" s="74" t="s">
        <v>490</v>
      </c>
      <c r="C29" s="91">
        <f>22882.79*1.15</f>
        <v>26315.208500000001</v>
      </c>
    </row>
    <row r="30" spans="1:3" x14ac:dyDescent="0.2">
      <c r="A30" s="90" t="s">
        <v>484</v>
      </c>
      <c r="B30" s="74" t="s">
        <v>490</v>
      </c>
      <c r="C30" s="91">
        <f>22882.79*1.15</f>
        <v>26315.208500000001</v>
      </c>
    </row>
    <row r="31" spans="1:3" x14ac:dyDescent="0.2">
      <c r="A31" s="90" t="s">
        <v>484</v>
      </c>
      <c r="B31" s="74" t="s">
        <v>490</v>
      </c>
      <c r="C31" s="91">
        <f>22882.79*1.15</f>
        <v>26315.208500000001</v>
      </c>
    </row>
    <row r="32" spans="1:3" x14ac:dyDescent="0.2">
      <c r="A32" s="90" t="s">
        <v>484</v>
      </c>
      <c r="B32" s="74" t="s">
        <v>491</v>
      </c>
      <c r="C32" s="91">
        <v>506</v>
      </c>
    </row>
    <row r="33" spans="1:3" x14ac:dyDescent="0.2">
      <c r="A33" s="90" t="s">
        <v>484</v>
      </c>
      <c r="B33" s="74" t="s">
        <v>492</v>
      </c>
      <c r="C33" s="91">
        <f>4869.56*1.15</f>
        <v>5599.9939999999997</v>
      </c>
    </row>
    <row r="34" spans="1:3" x14ac:dyDescent="0.2">
      <c r="A34" s="90" t="s">
        <v>484</v>
      </c>
      <c r="B34" s="74" t="s">
        <v>493</v>
      </c>
      <c r="C34" s="91">
        <f>20000*1.15</f>
        <v>23000</v>
      </c>
    </row>
    <row r="35" spans="1:3" x14ac:dyDescent="0.2">
      <c r="A35" s="90" t="s">
        <v>484</v>
      </c>
      <c r="B35" s="74" t="s">
        <v>494</v>
      </c>
      <c r="C35" s="91">
        <v>41850.699999999997</v>
      </c>
    </row>
    <row r="36" spans="1:3" x14ac:dyDescent="0.2">
      <c r="A36" s="90" t="s">
        <v>484</v>
      </c>
      <c r="B36" s="74" t="s">
        <v>495</v>
      </c>
      <c r="C36" s="91">
        <f>1684.98*1.15</f>
        <v>1937.7269999999999</v>
      </c>
    </row>
    <row r="37" spans="1:3" x14ac:dyDescent="0.2">
      <c r="A37" s="90" t="s">
        <v>484</v>
      </c>
      <c r="B37" s="74" t="s">
        <v>496</v>
      </c>
      <c r="C37" s="91">
        <f>1014.3*1.15</f>
        <v>1166.4449999999999</v>
      </c>
    </row>
    <row r="38" spans="1:3" x14ac:dyDescent="0.2">
      <c r="A38" s="90" t="s">
        <v>484</v>
      </c>
      <c r="B38" s="74" t="s">
        <v>496</v>
      </c>
      <c r="C38" s="91">
        <f>1014.3*1.15</f>
        <v>1166.4449999999999</v>
      </c>
    </row>
    <row r="39" spans="1:3" x14ac:dyDescent="0.2">
      <c r="A39" s="90" t="s">
        <v>484</v>
      </c>
      <c r="B39" s="74" t="s">
        <v>497</v>
      </c>
      <c r="C39" s="91">
        <f>346.73*1.15</f>
        <v>398.73949999999996</v>
      </c>
    </row>
    <row r="40" spans="1:3" x14ac:dyDescent="0.2">
      <c r="A40" s="90" t="s">
        <v>484</v>
      </c>
      <c r="B40" s="74" t="s">
        <v>498</v>
      </c>
      <c r="C40" s="91">
        <f>305.32*1.15</f>
        <v>351.11799999999994</v>
      </c>
    </row>
    <row r="41" spans="1:3" x14ac:dyDescent="0.2">
      <c r="A41" s="90" t="s">
        <v>484</v>
      </c>
      <c r="B41" s="74" t="s">
        <v>498</v>
      </c>
      <c r="C41" s="91">
        <f>305.32*1.15</f>
        <v>351.11799999999994</v>
      </c>
    </row>
    <row r="42" spans="1:3" x14ac:dyDescent="0.2">
      <c r="A42" s="90" t="s">
        <v>484</v>
      </c>
      <c r="B42" s="74" t="s">
        <v>499</v>
      </c>
      <c r="C42" s="91">
        <f>284.63*1.15</f>
        <v>327.32449999999994</v>
      </c>
    </row>
    <row r="43" spans="1:3" x14ac:dyDescent="0.2">
      <c r="A43" s="90" t="s">
        <v>484</v>
      </c>
      <c r="B43" s="74" t="s">
        <v>500</v>
      </c>
      <c r="C43" s="91">
        <f>377.78*1.15</f>
        <v>434.44699999999995</v>
      </c>
    </row>
    <row r="44" spans="1:3" x14ac:dyDescent="0.2">
      <c r="A44" s="90" t="s">
        <v>484</v>
      </c>
      <c r="B44" s="74" t="s">
        <v>501</v>
      </c>
      <c r="C44" s="91">
        <f>204.93*1.15</f>
        <v>235.6695</v>
      </c>
    </row>
    <row r="45" spans="1:3" x14ac:dyDescent="0.2">
      <c r="A45" s="90" t="s">
        <v>484</v>
      </c>
      <c r="B45" s="74" t="s">
        <v>501</v>
      </c>
      <c r="C45" s="91">
        <f>204.93*1.15</f>
        <v>235.6695</v>
      </c>
    </row>
    <row r="46" spans="1:3" x14ac:dyDescent="0.2">
      <c r="A46" s="90" t="s">
        <v>484</v>
      </c>
      <c r="B46" s="74" t="s">
        <v>502</v>
      </c>
      <c r="C46" s="91">
        <f>238.06*1.15</f>
        <v>273.76900000000001</v>
      </c>
    </row>
    <row r="47" spans="1:3" x14ac:dyDescent="0.2">
      <c r="A47" s="90" t="s">
        <v>484</v>
      </c>
      <c r="B47" s="74" t="s">
        <v>502</v>
      </c>
      <c r="C47" s="91">
        <f>238.06*1.15</f>
        <v>273.76900000000001</v>
      </c>
    </row>
    <row r="48" spans="1:3" x14ac:dyDescent="0.2">
      <c r="A48" s="90" t="s">
        <v>484</v>
      </c>
      <c r="B48" s="74" t="s">
        <v>503</v>
      </c>
      <c r="C48" s="91">
        <f>87.78*1.15</f>
        <v>100.94699999999999</v>
      </c>
    </row>
    <row r="49" spans="1:3" x14ac:dyDescent="0.2">
      <c r="A49" s="90" t="s">
        <v>484</v>
      </c>
      <c r="B49" s="74" t="s">
        <v>504</v>
      </c>
      <c r="C49" s="91">
        <f>204.93*1.15</f>
        <v>235.6695</v>
      </c>
    </row>
    <row r="50" spans="1:3" x14ac:dyDescent="0.2">
      <c r="A50" s="90" t="s">
        <v>484</v>
      </c>
      <c r="B50" s="74" t="s">
        <v>504</v>
      </c>
      <c r="C50" s="91">
        <f>204.93*1.15</f>
        <v>235.6695</v>
      </c>
    </row>
    <row r="51" spans="1:3" x14ac:dyDescent="0.2">
      <c r="A51" s="90" t="s">
        <v>484</v>
      </c>
      <c r="B51" s="74" t="s">
        <v>505</v>
      </c>
      <c r="C51" s="91">
        <f>150.07*1.15</f>
        <v>172.58049999999997</v>
      </c>
    </row>
    <row r="52" spans="1:3" x14ac:dyDescent="0.2">
      <c r="A52" s="90" t="s">
        <v>484</v>
      </c>
      <c r="B52" s="74" t="s">
        <v>505</v>
      </c>
      <c r="C52" s="91">
        <f>150.07*1.15</f>
        <v>172.58049999999997</v>
      </c>
    </row>
    <row r="53" spans="1:3" x14ac:dyDescent="0.2">
      <c r="A53" s="90" t="s">
        <v>484</v>
      </c>
      <c r="B53" s="74" t="s">
        <v>506</v>
      </c>
      <c r="C53" s="91">
        <f>170.77*1.15</f>
        <v>196.38550000000001</v>
      </c>
    </row>
    <row r="54" spans="1:3" x14ac:dyDescent="0.2">
      <c r="A54" s="90" t="s">
        <v>484</v>
      </c>
      <c r="B54" s="74" t="s">
        <v>507</v>
      </c>
      <c r="C54" s="91">
        <f>1863*1.15</f>
        <v>2142.4499999999998</v>
      </c>
    </row>
    <row r="55" spans="1:3" x14ac:dyDescent="0.2">
      <c r="A55" s="90" t="s">
        <v>484</v>
      </c>
      <c r="B55" s="74" t="s">
        <v>508</v>
      </c>
      <c r="C55" s="91">
        <f>961.52*1.15</f>
        <v>1105.7479999999998</v>
      </c>
    </row>
    <row r="56" spans="1:3" ht="25.5" x14ac:dyDescent="0.2">
      <c r="A56" s="90" t="s">
        <v>484</v>
      </c>
      <c r="B56" s="74" t="s">
        <v>509</v>
      </c>
      <c r="C56" s="91">
        <f>98330*1.16</f>
        <v>114062.79999999999</v>
      </c>
    </row>
    <row r="57" spans="1:3" ht="25.5" x14ac:dyDescent="0.2">
      <c r="A57" s="90" t="s">
        <v>484</v>
      </c>
      <c r="B57" s="74" t="s">
        <v>510</v>
      </c>
      <c r="C57" s="91">
        <f>98618*1.16</f>
        <v>114396.87999999999</v>
      </c>
    </row>
    <row r="58" spans="1:3" x14ac:dyDescent="0.2">
      <c r="A58" s="90" t="s">
        <v>484</v>
      </c>
      <c r="B58" s="74" t="s">
        <v>511</v>
      </c>
      <c r="C58" s="91">
        <f>12715*1.16</f>
        <v>14749.4</v>
      </c>
    </row>
    <row r="59" spans="1:3" x14ac:dyDescent="0.2">
      <c r="A59" s="90" t="s">
        <v>484</v>
      </c>
      <c r="B59" s="74" t="s">
        <v>512</v>
      </c>
      <c r="C59" s="91">
        <v>3132</v>
      </c>
    </row>
    <row r="60" spans="1:3" ht="13.5" thickBot="1" x14ac:dyDescent="0.25">
      <c r="A60" s="63"/>
      <c r="B60" s="64"/>
      <c r="C60" s="64"/>
    </row>
    <row r="61" spans="1:3" ht="17.25" customHeight="1" x14ac:dyDescent="0.2">
      <c r="A61" s="65"/>
      <c r="B61" s="65"/>
      <c r="C61" s="65"/>
    </row>
    <row r="62" spans="1:3" ht="17.25" customHeight="1" x14ac:dyDescent="0.2">
      <c r="A62" s="65"/>
      <c r="B62" s="65"/>
      <c r="C62" s="65"/>
    </row>
    <row r="65" spans="1:3" x14ac:dyDescent="0.2">
      <c r="B65" s="54"/>
      <c r="C65" s="54"/>
    </row>
    <row r="66" spans="1:3" x14ac:dyDescent="0.2">
      <c r="B66" s="54"/>
      <c r="C66" s="54"/>
    </row>
    <row r="67" spans="1:3" x14ac:dyDescent="0.2">
      <c r="B67" s="54"/>
      <c r="C67" s="54"/>
    </row>
    <row r="68" spans="1:3" x14ac:dyDescent="0.2">
      <c r="B68" s="54"/>
      <c r="C68" s="54"/>
    </row>
    <row r="69" spans="1:3" x14ac:dyDescent="0.2">
      <c r="B69" s="54"/>
      <c r="C69" s="54"/>
    </row>
    <row r="70" spans="1:3" x14ac:dyDescent="0.2">
      <c r="B70" s="54"/>
      <c r="C70" s="54"/>
    </row>
    <row r="71" spans="1:3" x14ac:dyDescent="0.2">
      <c r="B71" s="54"/>
      <c r="C71" s="54"/>
    </row>
    <row r="72" spans="1:3" x14ac:dyDescent="0.2">
      <c r="B72" s="54"/>
      <c r="C72" s="54"/>
    </row>
    <row r="73" spans="1:3" x14ac:dyDescent="0.2">
      <c r="B73" s="54"/>
      <c r="C73" s="54"/>
    </row>
    <row r="74" spans="1:3" x14ac:dyDescent="0.2">
      <c r="B74" s="54"/>
      <c r="C74" s="54"/>
    </row>
    <row r="75" spans="1:3" x14ac:dyDescent="0.2">
      <c r="B75" s="54"/>
      <c r="C75" s="54"/>
    </row>
    <row r="76" spans="1:3" x14ac:dyDescent="0.2">
      <c r="B76" s="54"/>
      <c r="C76" s="54"/>
    </row>
    <row r="77" spans="1:3" x14ac:dyDescent="0.2">
      <c r="B77" s="54"/>
      <c r="C77" s="54"/>
    </row>
    <row r="78" spans="1:3" x14ac:dyDescent="0.2">
      <c r="B78" s="54"/>
      <c r="C78" s="54"/>
    </row>
    <row r="79" spans="1:3" x14ac:dyDescent="0.2">
      <c r="A79" s="66"/>
    </row>
    <row r="80" spans="1:3" x14ac:dyDescent="0.2">
      <c r="A80" s="66"/>
      <c r="B80" s="67"/>
    </row>
    <row r="81" spans="1:3" ht="12.75" customHeight="1" x14ac:dyDescent="0.2">
      <c r="A81" s="66"/>
      <c r="B81" s="71"/>
      <c r="C81" s="71"/>
    </row>
    <row r="82" spans="1:3" ht="12.75" customHeight="1" x14ac:dyDescent="0.2">
      <c r="B82" s="71"/>
      <c r="C82" s="71"/>
    </row>
    <row r="93" spans="1:3" s="68" customFormat="1" ht="11.25" x14ac:dyDescent="0.2"/>
  </sheetData>
  <printOptions horizontalCentered="1"/>
  <pageMargins left="0.35433070866141736" right="3.937007874015748E-2" top="0.51181102362204722" bottom="0.62992125984251968" header="0" footer="0"/>
  <pageSetup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952"/>
  <sheetViews>
    <sheetView showGridLines="0" view="pageBreakPreview" zoomScaleNormal="100" zoomScaleSheetLayoutView="100" workbookViewId="0">
      <pane ySplit="6" topLeftCell="A1928" activePane="bottomLeft" state="frozen"/>
      <selection pane="bottomLeft" activeCell="E1928" sqref="E1928"/>
    </sheetView>
  </sheetViews>
  <sheetFormatPr baseColWidth="10" defaultRowHeight="12.75" x14ac:dyDescent="0.2"/>
  <cols>
    <col min="1" max="1" width="31.140625" style="50" customWidth="1"/>
    <col min="2" max="2" width="58" style="50" customWidth="1"/>
    <col min="3" max="3" width="25.7109375" style="50" customWidth="1"/>
    <col min="4" max="16384" width="11.42578125" style="50"/>
  </cols>
  <sheetData>
    <row r="1" spans="1:8" ht="15.75" customHeight="1" x14ac:dyDescent="0.25">
      <c r="A1" s="55"/>
      <c r="B1" s="55"/>
      <c r="C1" s="72" t="s">
        <v>150</v>
      </c>
      <c r="D1" s="53"/>
      <c r="E1" s="53"/>
      <c r="F1" s="53"/>
      <c r="G1" s="53"/>
      <c r="H1" s="53"/>
    </row>
    <row r="2" spans="1:8" ht="23.25" customHeight="1" x14ac:dyDescent="0.25">
      <c r="A2" s="51" t="s">
        <v>314</v>
      </c>
      <c r="B2" s="52"/>
      <c r="C2" s="52"/>
      <c r="D2" s="53"/>
      <c r="E2" s="53"/>
      <c r="F2" s="53"/>
      <c r="G2" s="53"/>
      <c r="H2" s="53"/>
    </row>
    <row r="3" spans="1:8" ht="15" x14ac:dyDescent="0.25">
      <c r="A3" s="51" t="s">
        <v>152</v>
      </c>
      <c r="B3" s="51"/>
      <c r="C3" s="51"/>
    </row>
    <row r="4" spans="1:8" ht="12.75" customHeight="1" x14ac:dyDescent="0.25">
      <c r="A4" s="56"/>
      <c r="B4" s="56"/>
      <c r="C4" s="56"/>
    </row>
    <row r="5" spans="1:8" ht="13.5" thickBot="1" x14ac:dyDescent="0.25">
      <c r="A5" s="57" t="s">
        <v>20</v>
      </c>
      <c r="B5" s="57" t="s">
        <v>21</v>
      </c>
      <c r="C5" s="57" t="s">
        <v>16</v>
      </c>
    </row>
    <row r="6" spans="1:8" ht="31.5" customHeight="1" thickBot="1" x14ac:dyDescent="0.25">
      <c r="A6" s="69" t="s">
        <v>148</v>
      </c>
      <c r="B6" s="70" t="s">
        <v>132</v>
      </c>
      <c r="C6" s="70" t="s">
        <v>149</v>
      </c>
    </row>
    <row r="7" spans="1:8" x14ac:dyDescent="0.2">
      <c r="A7" s="90" t="s">
        <v>513</v>
      </c>
      <c r="B7" s="74" t="s">
        <v>514</v>
      </c>
      <c r="C7" s="81">
        <v>100000</v>
      </c>
    </row>
    <row r="8" spans="1:8" x14ac:dyDescent="0.2">
      <c r="A8" s="90" t="s">
        <v>513</v>
      </c>
      <c r="B8" s="74" t="s">
        <v>515</v>
      </c>
      <c r="C8" s="81">
        <v>345</v>
      </c>
    </row>
    <row r="9" spans="1:8" x14ac:dyDescent="0.2">
      <c r="A9" s="90" t="s">
        <v>513</v>
      </c>
      <c r="B9" s="74" t="s">
        <v>516</v>
      </c>
      <c r="C9" s="81">
        <f>2000*1.15</f>
        <v>2300</v>
      </c>
    </row>
    <row r="10" spans="1:8" x14ac:dyDescent="0.2">
      <c r="A10" s="90" t="s">
        <v>513</v>
      </c>
      <c r="B10" s="74" t="s">
        <v>517</v>
      </c>
      <c r="C10" s="81">
        <v>2900</v>
      </c>
    </row>
    <row r="11" spans="1:8" x14ac:dyDescent="0.2">
      <c r="A11" s="90" t="s">
        <v>513</v>
      </c>
      <c r="B11" s="74" t="s">
        <v>518</v>
      </c>
      <c r="C11" s="81">
        <v>2169.5700000000002</v>
      </c>
    </row>
    <row r="12" spans="1:8" x14ac:dyDescent="0.2">
      <c r="A12" s="90" t="s">
        <v>513</v>
      </c>
      <c r="B12" s="74" t="s">
        <v>518</v>
      </c>
      <c r="C12" s="81">
        <v>2169.5700000000002</v>
      </c>
    </row>
    <row r="13" spans="1:8" x14ac:dyDescent="0.2">
      <c r="A13" s="90" t="s">
        <v>513</v>
      </c>
      <c r="B13" s="74" t="s">
        <v>518</v>
      </c>
      <c r="C13" s="81">
        <v>2169.5700000000002</v>
      </c>
    </row>
    <row r="14" spans="1:8" x14ac:dyDescent="0.2">
      <c r="A14" s="90" t="s">
        <v>513</v>
      </c>
      <c r="B14" s="74" t="s">
        <v>518</v>
      </c>
      <c r="C14" s="81">
        <v>2169.5700000000002</v>
      </c>
    </row>
    <row r="15" spans="1:8" x14ac:dyDescent="0.2">
      <c r="A15" s="90" t="s">
        <v>513</v>
      </c>
      <c r="B15" s="74" t="s">
        <v>518</v>
      </c>
      <c r="C15" s="81">
        <v>2169.5700000000002</v>
      </c>
    </row>
    <row r="16" spans="1:8" ht="25.5" x14ac:dyDescent="0.2">
      <c r="A16" s="90" t="s">
        <v>513</v>
      </c>
      <c r="B16" s="74" t="s">
        <v>519</v>
      </c>
      <c r="C16" s="81">
        <v>37760</v>
      </c>
    </row>
    <row r="17" spans="1:3" x14ac:dyDescent="0.2">
      <c r="A17" s="90" t="s">
        <v>513</v>
      </c>
      <c r="B17" s="74" t="s">
        <v>520</v>
      </c>
      <c r="C17" s="81">
        <v>4700</v>
      </c>
    </row>
    <row r="18" spans="1:3" ht="25.5" x14ac:dyDescent="0.2">
      <c r="A18" s="90" t="s">
        <v>513</v>
      </c>
      <c r="B18" s="74" t="s">
        <v>519</v>
      </c>
      <c r="C18" s="81">
        <v>38960</v>
      </c>
    </row>
    <row r="19" spans="1:3" x14ac:dyDescent="0.2">
      <c r="A19" s="90" t="s">
        <v>513</v>
      </c>
      <c r="B19" s="74" t="s">
        <v>520</v>
      </c>
      <c r="C19" s="81">
        <v>4700</v>
      </c>
    </row>
    <row r="20" spans="1:3" x14ac:dyDescent="0.2">
      <c r="A20" s="90" t="s">
        <v>513</v>
      </c>
      <c r="B20" s="74" t="s">
        <v>521</v>
      </c>
      <c r="C20" s="81">
        <v>1390.43</v>
      </c>
    </row>
    <row r="21" spans="1:3" x14ac:dyDescent="0.2">
      <c r="A21" s="90" t="s">
        <v>513</v>
      </c>
      <c r="B21" s="74" t="s">
        <v>522</v>
      </c>
      <c r="C21" s="81">
        <v>1216.52</v>
      </c>
    </row>
    <row r="22" spans="1:3" x14ac:dyDescent="0.2">
      <c r="A22" s="90" t="s">
        <v>513</v>
      </c>
      <c r="B22" s="74" t="s">
        <v>523</v>
      </c>
      <c r="C22" s="81">
        <v>5908.69</v>
      </c>
    </row>
    <row r="23" spans="1:3" x14ac:dyDescent="0.2">
      <c r="A23" s="90" t="s">
        <v>513</v>
      </c>
      <c r="B23" s="74" t="s">
        <v>523</v>
      </c>
      <c r="C23" s="81">
        <v>5908.69</v>
      </c>
    </row>
    <row r="24" spans="1:3" ht="25.5" x14ac:dyDescent="0.2">
      <c r="A24" s="90" t="s">
        <v>513</v>
      </c>
      <c r="B24" s="74" t="s">
        <v>524</v>
      </c>
      <c r="C24" s="81">
        <v>5866.66</v>
      </c>
    </row>
    <row r="25" spans="1:3" x14ac:dyDescent="0.2">
      <c r="A25" s="90" t="s">
        <v>513</v>
      </c>
      <c r="B25" s="74" t="s">
        <v>525</v>
      </c>
      <c r="C25" s="81">
        <v>5866.66</v>
      </c>
    </row>
    <row r="26" spans="1:3" x14ac:dyDescent="0.2">
      <c r="A26" s="90" t="s">
        <v>513</v>
      </c>
      <c r="B26" s="74" t="s">
        <v>526</v>
      </c>
      <c r="C26" s="81">
        <v>5866.66</v>
      </c>
    </row>
    <row r="27" spans="1:3" x14ac:dyDescent="0.2">
      <c r="A27" s="90" t="s">
        <v>513</v>
      </c>
      <c r="B27" s="74" t="s">
        <v>527</v>
      </c>
      <c r="C27" s="92" t="s">
        <v>1119</v>
      </c>
    </row>
    <row r="28" spans="1:3" x14ac:dyDescent="0.2">
      <c r="A28" s="90" t="s">
        <v>513</v>
      </c>
      <c r="B28" s="74" t="s">
        <v>528</v>
      </c>
      <c r="C28" s="92" t="s">
        <v>1119</v>
      </c>
    </row>
    <row r="29" spans="1:3" x14ac:dyDescent="0.2">
      <c r="A29" s="90" t="s">
        <v>513</v>
      </c>
      <c r="B29" s="74" t="s">
        <v>529</v>
      </c>
      <c r="C29" s="92" t="s">
        <v>1119</v>
      </c>
    </row>
    <row r="30" spans="1:3" x14ac:dyDescent="0.2">
      <c r="A30" s="90" t="s">
        <v>513</v>
      </c>
      <c r="B30" s="74" t="s">
        <v>530</v>
      </c>
      <c r="C30" s="92" t="s">
        <v>1119</v>
      </c>
    </row>
    <row r="31" spans="1:3" x14ac:dyDescent="0.2">
      <c r="A31" s="90" t="s">
        <v>513</v>
      </c>
      <c r="B31" s="74" t="s">
        <v>531</v>
      </c>
      <c r="C31" s="92" t="s">
        <v>1119</v>
      </c>
    </row>
    <row r="32" spans="1:3" x14ac:dyDescent="0.2">
      <c r="A32" s="90" t="s">
        <v>513</v>
      </c>
      <c r="B32" s="74" t="s">
        <v>532</v>
      </c>
      <c r="C32" s="92" t="s">
        <v>1119</v>
      </c>
    </row>
    <row r="33" spans="1:3" x14ac:dyDescent="0.2">
      <c r="A33" s="90" t="s">
        <v>513</v>
      </c>
      <c r="B33" s="74" t="s">
        <v>533</v>
      </c>
      <c r="C33" s="92" t="s">
        <v>1119</v>
      </c>
    </row>
    <row r="34" spans="1:3" x14ac:dyDescent="0.2">
      <c r="A34" s="90" t="s">
        <v>513</v>
      </c>
      <c r="B34" s="74" t="s">
        <v>534</v>
      </c>
      <c r="C34" s="92" t="s">
        <v>1119</v>
      </c>
    </row>
    <row r="35" spans="1:3" x14ac:dyDescent="0.2">
      <c r="A35" s="90" t="s">
        <v>513</v>
      </c>
      <c r="B35" s="74" t="s">
        <v>535</v>
      </c>
      <c r="C35" s="92" t="s">
        <v>1119</v>
      </c>
    </row>
    <row r="36" spans="1:3" x14ac:dyDescent="0.2">
      <c r="A36" s="90" t="s">
        <v>513</v>
      </c>
      <c r="B36" s="74" t="s">
        <v>536</v>
      </c>
      <c r="C36" s="92" t="s">
        <v>1119</v>
      </c>
    </row>
    <row r="37" spans="1:3" x14ac:dyDescent="0.2">
      <c r="A37" s="90" t="s">
        <v>513</v>
      </c>
      <c r="B37" s="74" t="s">
        <v>537</v>
      </c>
      <c r="C37" s="92" t="s">
        <v>1119</v>
      </c>
    </row>
    <row r="38" spans="1:3" x14ac:dyDescent="0.2">
      <c r="A38" s="90" t="s">
        <v>513</v>
      </c>
      <c r="B38" s="74" t="s">
        <v>538</v>
      </c>
      <c r="C38" s="92" t="s">
        <v>1119</v>
      </c>
    </row>
    <row r="39" spans="1:3" x14ac:dyDescent="0.2">
      <c r="A39" s="90" t="s">
        <v>513</v>
      </c>
      <c r="B39" s="74" t="s">
        <v>539</v>
      </c>
      <c r="C39" s="92" t="s">
        <v>1119</v>
      </c>
    </row>
    <row r="40" spans="1:3" x14ac:dyDescent="0.2">
      <c r="A40" s="90" t="s">
        <v>513</v>
      </c>
      <c r="B40" s="74" t="s">
        <v>540</v>
      </c>
      <c r="C40" s="92" t="s">
        <v>1119</v>
      </c>
    </row>
    <row r="41" spans="1:3" x14ac:dyDescent="0.2">
      <c r="A41" s="90" t="s">
        <v>513</v>
      </c>
      <c r="B41" s="74" t="s">
        <v>541</v>
      </c>
      <c r="C41" s="92" t="s">
        <v>1119</v>
      </c>
    </row>
    <row r="42" spans="1:3" x14ac:dyDescent="0.2">
      <c r="A42" s="90" t="s">
        <v>513</v>
      </c>
      <c r="B42" s="74" t="s">
        <v>542</v>
      </c>
      <c r="C42" s="92" t="s">
        <v>1119</v>
      </c>
    </row>
    <row r="43" spans="1:3" x14ac:dyDescent="0.2">
      <c r="A43" s="90" t="s">
        <v>513</v>
      </c>
      <c r="B43" s="74" t="s">
        <v>543</v>
      </c>
      <c r="C43" s="92" t="s">
        <v>1119</v>
      </c>
    </row>
    <row r="44" spans="1:3" x14ac:dyDescent="0.2">
      <c r="A44" s="90" t="s">
        <v>513</v>
      </c>
      <c r="B44" s="74" t="s">
        <v>544</v>
      </c>
      <c r="C44" s="92" t="s">
        <v>1119</v>
      </c>
    </row>
    <row r="45" spans="1:3" x14ac:dyDescent="0.2">
      <c r="A45" s="90" t="s">
        <v>513</v>
      </c>
      <c r="B45" s="74" t="s">
        <v>545</v>
      </c>
      <c r="C45" s="92" t="s">
        <v>1119</v>
      </c>
    </row>
    <row r="46" spans="1:3" x14ac:dyDescent="0.2">
      <c r="A46" s="90" t="s">
        <v>513</v>
      </c>
      <c r="B46" s="74" t="s">
        <v>546</v>
      </c>
      <c r="C46" s="92" t="s">
        <v>1119</v>
      </c>
    </row>
    <row r="47" spans="1:3" x14ac:dyDescent="0.2">
      <c r="A47" s="90" t="s">
        <v>513</v>
      </c>
      <c r="B47" s="74" t="s">
        <v>547</v>
      </c>
      <c r="C47" s="92" t="s">
        <v>1119</v>
      </c>
    </row>
    <row r="48" spans="1:3" x14ac:dyDescent="0.2">
      <c r="A48" s="90" t="s">
        <v>513</v>
      </c>
      <c r="B48" s="74" t="s">
        <v>548</v>
      </c>
      <c r="C48" s="92" t="s">
        <v>1119</v>
      </c>
    </row>
    <row r="49" spans="1:3" x14ac:dyDescent="0.2">
      <c r="A49" s="90" t="s">
        <v>513</v>
      </c>
      <c r="B49" s="74" t="s">
        <v>549</v>
      </c>
      <c r="C49" s="81">
        <v>40.97</v>
      </c>
    </row>
    <row r="50" spans="1:3" x14ac:dyDescent="0.2">
      <c r="A50" s="90" t="s">
        <v>513</v>
      </c>
      <c r="B50" s="74" t="s">
        <v>550</v>
      </c>
      <c r="C50" s="92" t="s">
        <v>1119</v>
      </c>
    </row>
    <row r="51" spans="1:3" ht="25.5" x14ac:dyDescent="0.2">
      <c r="A51" s="90" t="s">
        <v>513</v>
      </c>
      <c r="B51" s="74" t="s">
        <v>551</v>
      </c>
      <c r="C51" s="92" t="s">
        <v>1119</v>
      </c>
    </row>
    <row r="52" spans="1:3" ht="38.25" x14ac:dyDescent="0.2">
      <c r="A52" s="90" t="s">
        <v>513</v>
      </c>
      <c r="B52" s="74" t="s">
        <v>552</v>
      </c>
      <c r="C52" s="92" t="s">
        <v>1119</v>
      </c>
    </row>
    <row r="53" spans="1:3" x14ac:dyDescent="0.2">
      <c r="A53" s="90" t="s">
        <v>513</v>
      </c>
      <c r="B53" s="74" t="s">
        <v>553</v>
      </c>
      <c r="C53" s="81">
        <v>187.2</v>
      </c>
    </row>
    <row r="54" spans="1:3" x14ac:dyDescent="0.2">
      <c r="A54" s="90" t="s">
        <v>513</v>
      </c>
      <c r="B54" s="74" t="s">
        <v>553</v>
      </c>
      <c r="C54" s="81">
        <v>187.2</v>
      </c>
    </row>
    <row r="55" spans="1:3" x14ac:dyDescent="0.2">
      <c r="A55" s="90" t="s">
        <v>513</v>
      </c>
      <c r="B55" s="74" t="s">
        <v>553</v>
      </c>
      <c r="C55" s="81">
        <v>187.2</v>
      </c>
    </row>
    <row r="56" spans="1:3" x14ac:dyDescent="0.2">
      <c r="A56" s="90" t="s">
        <v>513</v>
      </c>
      <c r="B56" s="74" t="s">
        <v>553</v>
      </c>
      <c r="C56" s="81">
        <v>268.2</v>
      </c>
    </row>
    <row r="57" spans="1:3" x14ac:dyDescent="0.2">
      <c r="A57" s="90" t="s">
        <v>513</v>
      </c>
      <c r="B57" s="74" t="s">
        <v>553</v>
      </c>
      <c r="C57" s="81">
        <v>268.2</v>
      </c>
    </row>
    <row r="58" spans="1:3" x14ac:dyDescent="0.2">
      <c r="A58" s="90" t="s">
        <v>513</v>
      </c>
      <c r="B58" s="74" t="s">
        <v>553</v>
      </c>
      <c r="C58" s="81">
        <v>268.2</v>
      </c>
    </row>
    <row r="59" spans="1:3" x14ac:dyDescent="0.2">
      <c r="A59" s="90" t="s">
        <v>513</v>
      </c>
      <c r="B59" s="74" t="s">
        <v>554</v>
      </c>
      <c r="C59" s="81">
        <v>153</v>
      </c>
    </row>
    <row r="60" spans="1:3" x14ac:dyDescent="0.2">
      <c r="A60" s="90" t="s">
        <v>513</v>
      </c>
      <c r="B60" s="74" t="s">
        <v>554</v>
      </c>
      <c r="C60" s="81">
        <v>153</v>
      </c>
    </row>
    <row r="61" spans="1:3" x14ac:dyDescent="0.2">
      <c r="A61" s="90" t="s">
        <v>513</v>
      </c>
      <c r="B61" s="74" t="s">
        <v>554</v>
      </c>
      <c r="C61" s="81">
        <v>153</v>
      </c>
    </row>
    <row r="62" spans="1:3" x14ac:dyDescent="0.2">
      <c r="A62" s="90" t="s">
        <v>513</v>
      </c>
      <c r="B62" s="74" t="s">
        <v>555</v>
      </c>
      <c r="C62" s="81">
        <v>206.1</v>
      </c>
    </row>
    <row r="63" spans="1:3" x14ac:dyDescent="0.2">
      <c r="A63" s="90" t="s">
        <v>513</v>
      </c>
      <c r="B63" s="74" t="s">
        <v>555</v>
      </c>
      <c r="C63" s="81">
        <v>206.1</v>
      </c>
    </row>
    <row r="64" spans="1:3" x14ac:dyDescent="0.2">
      <c r="A64" s="90" t="s">
        <v>513</v>
      </c>
      <c r="B64" s="74" t="s">
        <v>555</v>
      </c>
      <c r="C64" s="81">
        <v>206.1</v>
      </c>
    </row>
    <row r="65" spans="1:3" x14ac:dyDescent="0.2">
      <c r="A65" s="90" t="s">
        <v>513</v>
      </c>
      <c r="B65" s="74" t="s">
        <v>556</v>
      </c>
      <c r="C65" s="81">
        <v>81</v>
      </c>
    </row>
    <row r="66" spans="1:3" x14ac:dyDescent="0.2">
      <c r="A66" s="90" t="s">
        <v>513</v>
      </c>
      <c r="B66" s="74" t="s">
        <v>556</v>
      </c>
      <c r="C66" s="81">
        <v>81</v>
      </c>
    </row>
    <row r="67" spans="1:3" x14ac:dyDescent="0.2">
      <c r="A67" s="90" t="s">
        <v>513</v>
      </c>
      <c r="B67" s="74" t="s">
        <v>556</v>
      </c>
      <c r="C67" s="81">
        <v>81</v>
      </c>
    </row>
    <row r="68" spans="1:3" x14ac:dyDescent="0.2">
      <c r="A68" s="90" t="s">
        <v>513</v>
      </c>
      <c r="B68" s="74" t="s">
        <v>556</v>
      </c>
      <c r="C68" s="81">
        <v>81</v>
      </c>
    </row>
    <row r="69" spans="1:3" x14ac:dyDescent="0.2">
      <c r="A69" s="90" t="s">
        <v>513</v>
      </c>
      <c r="B69" s="74" t="s">
        <v>557</v>
      </c>
      <c r="C69" s="81">
        <v>229.5</v>
      </c>
    </row>
    <row r="70" spans="1:3" x14ac:dyDescent="0.2">
      <c r="A70" s="90" t="s">
        <v>513</v>
      </c>
      <c r="B70" s="74" t="s">
        <v>557</v>
      </c>
      <c r="C70" s="81">
        <v>229.5</v>
      </c>
    </row>
    <row r="71" spans="1:3" x14ac:dyDescent="0.2">
      <c r="A71" s="90" t="s">
        <v>513</v>
      </c>
      <c r="B71" s="74" t="s">
        <v>557</v>
      </c>
      <c r="C71" s="81">
        <v>229.5</v>
      </c>
    </row>
    <row r="72" spans="1:3" x14ac:dyDescent="0.2">
      <c r="A72" s="90" t="s">
        <v>513</v>
      </c>
      <c r="B72" s="74" t="s">
        <v>558</v>
      </c>
      <c r="C72" s="81">
        <v>162</v>
      </c>
    </row>
    <row r="73" spans="1:3" x14ac:dyDescent="0.2">
      <c r="A73" s="90" t="s">
        <v>513</v>
      </c>
      <c r="B73" s="74" t="s">
        <v>558</v>
      </c>
      <c r="C73" s="81">
        <v>162</v>
      </c>
    </row>
    <row r="74" spans="1:3" x14ac:dyDescent="0.2">
      <c r="A74" s="90" t="s">
        <v>513</v>
      </c>
      <c r="B74" s="74" t="s">
        <v>559</v>
      </c>
      <c r="C74" s="81">
        <v>135</v>
      </c>
    </row>
    <row r="75" spans="1:3" x14ac:dyDescent="0.2">
      <c r="A75" s="90" t="s">
        <v>513</v>
      </c>
      <c r="B75" s="74" t="s">
        <v>559</v>
      </c>
      <c r="C75" s="81">
        <v>135</v>
      </c>
    </row>
    <row r="76" spans="1:3" x14ac:dyDescent="0.2">
      <c r="A76" s="90" t="s">
        <v>513</v>
      </c>
      <c r="B76" s="74" t="s">
        <v>560</v>
      </c>
      <c r="C76" s="81">
        <v>94.5</v>
      </c>
    </row>
    <row r="77" spans="1:3" x14ac:dyDescent="0.2">
      <c r="A77" s="90" t="s">
        <v>513</v>
      </c>
      <c r="B77" s="74" t="s">
        <v>560</v>
      </c>
      <c r="C77" s="81">
        <v>94.5</v>
      </c>
    </row>
    <row r="78" spans="1:3" x14ac:dyDescent="0.2">
      <c r="A78" s="90" t="s">
        <v>513</v>
      </c>
      <c r="B78" s="74" t="s">
        <v>561</v>
      </c>
      <c r="C78" s="81">
        <v>309.60000000000002</v>
      </c>
    </row>
    <row r="79" spans="1:3" x14ac:dyDescent="0.2">
      <c r="A79" s="90" t="s">
        <v>513</v>
      </c>
      <c r="B79" s="74" t="s">
        <v>561</v>
      </c>
      <c r="C79" s="81">
        <v>309.60000000000002</v>
      </c>
    </row>
    <row r="80" spans="1:3" x14ac:dyDescent="0.2">
      <c r="A80" s="90" t="s">
        <v>513</v>
      </c>
      <c r="B80" s="74" t="s">
        <v>561</v>
      </c>
      <c r="C80" s="81">
        <v>309.60000000000002</v>
      </c>
    </row>
    <row r="81" spans="1:3" x14ac:dyDescent="0.2">
      <c r="A81" s="90" t="s">
        <v>513</v>
      </c>
      <c r="B81" s="74" t="s">
        <v>561</v>
      </c>
      <c r="C81" s="81">
        <v>309.60000000000002</v>
      </c>
    </row>
    <row r="82" spans="1:3" x14ac:dyDescent="0.2">
      <c r="A82" s="90" t="s">
        <v>513</v>
      </c>
      <c r="B82" s="74" t="s">
        <v>561</v>
      </c>
      <c r="C82" s="81">
        <v>309.60000000000002</v>
      </c>
    </row>
    <row r="83" spans="1:3" x14ac:dyDescent="0.2">
      <c r="A83" s="90" t="s">
        <v>513</v>
      </c>
      <c r="B83" s="74" t="s">
        <v>561</v>
      </c>
      <c r="C83" s="81">
        <v>309.60000000000002</v>
      </c>
    </row>
    <row r="84" spans="1:3" x14ac:dyDescent="0.2">
      <c r="A84" s="90" t="s">
        <v>513</v>
      </c>
      <c r="B84" s="74" t="s">
        <v>562</v>
      </c>
      <c r="C84" s="81">
        <v>314.10000000000002</v>
      </c>
    </row>
    <row r="85" spans="1:3" x14ac:dyDescent="0.2">
      <c r="A85" s="90" t="s">
        <v>513</v>
      </c>
      <c r="B85" s="74" t="s">
        <v>562</v>
      </c>
      <c r="C85" s="81">
        <v>314.10000000000002</v>
      </c>
    </row>
    <row r="86" spans="1:3" ht="15.95" customHeight="1" x14ac:dyDescent="0.2">
      <c r="A86" s="90" t="s">
        <v>513</v>
      </c>
      <c r="B86" s="74" t="s">
        <v>563</v>
      </c>
      <c r="C86" s="81">
        <v>99</v>
      </c>
    </row>
    <row r="87" spans="1:3" x14ac:dyDescent="0.2">
      <c r="A87" s="90" t="s">
        <v>513</v>
      </c>
      <c r="B87" s="74" t="s">
        <v>564</v>
      </c>
      <c r="C87" s="81">
        <v>171</v>
      </c>
    </row>
    <row r="88" spans="1:3" x14ac:dyDescent="0.2">
      <c r="A88" s="90" t="s">
        <v>513</v>
      </c>
      <c r="B88" s="74" t="s">
        <v>564</v>
      </c>
      <c r="C88" s="81">
        <v>171</v>
      </c>
    </row>
    <row r="89" spans="1:3" x14ac:dyDescent="0.2">
      <c r="A89" s="90" t="s">
        <v>513</v>
      </c>
      <c r="B89" s="74" t="s">
        <v>564</v>
      </c>
      <c r="C89" s="81">
        <v>171</v>
      </c>
    </row>
    <row r="90" spans="1:3" x14ac:dyDescent="0.2">
      <c r="A90" s="90" t="s">
        <v>513</v>
      </c>
      <c r="B90" s="74" t="s">
        <v>565</v>
      </c>
      <c r="C90" s="81">
        <v>162</v>
      </c>
    </row>
    <row r="91" spans="1:3" x14ac:dyDescent="0.2">
      <c r="A91" s="90" t="s">
        <v>513</v>
      </c>
      <c r="B91" s="74" t="s">
        <v>565</v>
      </c>
      <c r="C91" s="81">
        <v>162</v>
      </c>
    </row>
    <row r="92" spans="1:3" x14ac:dyDescent="0.2">
      <c r="A92" s="90" t="s">
        <v>513</v>
      </c>
      <c r="B92" s="74" t="s">
        <v>565</v>
      </c>
      <c r="C92" s="81">
        <v>162</v>
      </c>
    </row>
    <row r="93" spans="1:3" x14ac:dyDescent="0.2">
      <c r="A93" s="90" t="s">
        <v>513</v>
      </c>
      <c r="B93" s="74" t="s">
        <v>566</v>
      </c>
      <c r="C93" s="81">
        <v>135</v>
      </c>
    </row>
    <row r="94" spans="1:3" x14ac:dyDescent="0.2">
      <c r="A94" s="90" t="s">
        <v>513</v>
      </c>
      <c r="B94" s="74" t="s">
        <v>566</v>
      </c>
      <c r="C94" s="81">
        <v>135</v>
      </c>
    </row>
    <row r="95" spans="1:3" x14ac:dyDescent="0.2">
      <c r="A95" s="90" t="s">
        <v>513</v>
      </c>
      <c r="B95" s="74" t="s">
        <v>566</v>
      </c>
      <c r="C95" s="81">
        <v>135</v>
      </c>
    </row>
    <row r="96" spans="1:3" ht="15.95" customHeight="1" x14ac:dyDescent="0.2">
      <c r="A96" s="90" t="s">
        <v>513</v>
      </c>
      <c r="B96" s="74" t="s">
        <v>563</v>
      </c>
      <c r="C96" s="81">
        <v>99</v>
      </c>
    </row>
    <row r="97" spans="1:3" ht="15.95" customHeight="1" x14ac:dyDescent="0.2">
      <c r="A97" s="90" t="s">
        <v>513</v>
      </c>
      <c r="B97" s="74" t="s">
        <v>563</v>
      </c>
      <c r="C97" s="81">
        <v>99</v>
      </c>
    </row>
    <row r="98" spans="1:3" ht="15.95" customHeight="1" x14ac:dyDescent="0.2">
      <c r="A98" s="90" t="s">
        <v>513</v>
      </c>
      <c r="B98" s="74" t="s">
        <v>563</v>
      </c>
      <c r="C98" s="81">
        <v>99</v>
      </c>
    </row>
    <row r="99" spans="1:3" x14ac:dyDescent="0.2">
      <c r="A99" s="90" t="s">
        <v>513</v>
      </c>
      <c r="B99" s="74" t="s">
        <v>567</v>
      </c>
      <c r="C99" s="81">
        <v>198</v>
      </c>
    </row>
    <row r="100" spans="1:3" x14ac:dyDescent="0.2">
      <c r="A100" s="90" t="s">
        <v>513</v>
      </c>
      <c r="B100" s="74" t="s">
        <v>567</v>
      </c>
      <c r="C100" s="81">
        <v>198</v>
      </c>
    </row>
    <row r="101" spans="1:3" x14ac:dyDescent="0.2">
      <c r="A101" s="90" t="s">
        <v>513</v>
      </c>
      <c r="B101" s="74" t="s">
        <v>567</v>
      </c>
      <c r="C101" s="81">
        <v>198</v>
      </c>
    </row>
    <row r="102" spans="1:3" x14ac:dyDescent="0.2">
      <c r="A102" s="90" t="s">
        <v>513</v>
      </c>
      <c r="B102" s="74" t="s">
        <v>568</v>
      </c>
      <c r="C102" s="81">
        <v>94.5</v>
      </c>
    </row>
    <row r="103" spans="1:3" x14ac:dyDescent="0.2">
      <c r="A103" s="90" t="s">
        <v>513</v>
      </c>
      <c r="B103" s="74" t="s">
        <v>568</v>
      </c>
      <c r="C103" s="81">
        <v>94.5</v>
      </c>
    </row>
    <row r="104" spans="1:3" x14ac:dyDescent="0.2">
      <c r="A104" s="90" t="s">
        <v>513</v>
      </c>
      <c r="B104" s="74" t="s">
        <v>568</v>
      </c>
      <c r="C104" s="81">
        <v>94.5</v>
      </c>
    </row>
    <row r="105" spans="1:3" x14ac:dyDescent="0.2">
      <c r="A105" s="90" t="s">
        <v>513</v>
      </c>
      <c r="B105" s="74" t="s">
        <v>569</v>
      </c>
      <c r="C105" s="81">
        <v>94.5</v>
      </c>
    </row>
    <row r="106" spans="1:3" x14ac:dyDescent="0.2">
      <c r="A106" s="90" t="s">
        <v>513</v>
      </c>
      <c r="B106" s="74" t="s">
        <v>569</v>
      </c>
      <c r="C106" s="81">
        <v>94.5</v>
      </c>
    </row>
    <row r="107" spans="1:3" x14ac:dyDescent="0.2">
      <c r="A107" s="90" t="s">
        <v>513</v>
      </c>
      <c r="B107" s="74" t="s">
        <v>569</v>
      </c>
      <c r="C107" s="81">
        <v>94.5</v>
      </c>
    </row>
    <row r="108" spans="1:3" x14ac:dyDescent="0.2">
      <c r="A108" s="90" t="s">
        <v>513</v>
      </c>
      <c r="B108" s="74" t="s">
        <v>570</v>
      </c>
      <c r="C108" s="81">
        <v>291.60000000000002</v>
      </c>
    </row>
    <row r="109" spans="1:3" x14ac:dyDescent="0.2">
      <c r="A109" s="90" t="s">
        <v>513</v>
      </c>
      <c r="B109" s="74" t="s">
        <v>570</v>
      </c>
      <c r="C109" s="81">
        <v>291.60000000000002</v>
      </c>
    </row>
    <row r="110" spans="1:3" x14ac:dyDescent="0.2">
      <c r="A110" s="90" t="s">
        <v>513</v>
      </c>
      <c r="B110" s="74" t="s">
        <v>570</v>
      </c>
      <c r="C110" s="81">
        <v>291.60000000000002</v>
      </c>
    </row>
    <row r="111" spans="1:3" x14ac:dyDescent="0.2">
      <c r="A111" s="90" t="s">
        <v>513</v>
      </c>
      <c r="B111" s="74" t="s">
        <v>571</v>
      </c>
      <c r="C111" s="81">
        <v>291.60000000000002</v>
      </c>
    </row>
    <row r="112" spans="1:3" x14ac:dyDescent="0.2">
      <c r="A112" s="90" t="s">
        <v>513</v>
      </c>
      <c r="B112" s="74" t="s">
        <v>572</v>
      </c>
      <c r="C112" s="81">
        <v>252</v>
      </c>
    </row>
    <row r="113" spans="1:3" x14ac:dyDescent="0.2">
      <c r="A113" s="90" t="s">
        <v>513</v>
      </c>
      <c r="B113" s="74" t="s">
        <v>572</v>
      </c>
      <c r="C113" s="81">
        <v>252</v>
      </c>
    </row>
    <row r="114" spans="1:3" x14ac:dyDescent="0.2">
      <c r="A114" s="90" t="s">
        <v>513</v>
      </c>
      <c r="B114" s="74" t="s">
        <v>572</v>
      </c>
      <c r="C114" s="81">
        <v>252</v>
      </c>
    </row>
    <row r="115" spans="1:3" x14ac:dyDescent="0.2">
      <c r="A115" s="90" t="s">
        <v>513</v>
      </c>
      <c r="B115" s="74" t="s">
        <v>573</v>
      </c>
      <c r="C115" s="81">
        <v>287.10000000000002</v>
      </c>
    </row>
    <row r="116" spans="1:3" x14ac:dyDescent="0.2">
      <c r="A116" s="90" t="s">
        <v>513</v>
      </c>
      <c r="B116" s="74" t="s">
        <v>573</v>
      </c>
      <c r="C116" s="81">
        <v>287.10000000000002</v>
      </c>
    </row>
    <row r="117" spans="1:3" x14ac:dyDescent="0.2">
      <c r="A117" s="90" t="s">
        <v>513</v>
      </c>
      <c r="B117" s="74" t="s">
        <v>574</v>
      </c>
      <c r="C117" s="81">
        <v>90</v>
      </c>
    </row>
    <row r="118" spans="1:3" x14ac:dyDescent="0.2">
      <c r="A118" s="90" t="s">
        <v>513</v>
      </c>
      <c r="B118" s="74" t="s">
        <v>574</v>
      </c>
      <c r="C118" s="81">
        <v>90</v>
      </c>
    </row>
    <row r="119" spans="1:3" x14ac:dyDescent="0.2">
      <c r="A119" s="90" t="s">
        <v>513</v>
      </c>
      <c r="B119" s="74" t="s">
        <v>574</v>
      </c>
      <c r="C119" s="81">
        <v>90</v>
      </c>
    </row>
    <row r="120" spans="1:3" x14ac:dyDescent="0.2">
      <c r="A120" s="90" t="s">
        <v>513</v>
      </c>
      <c r="B120" s="74" t="s">
        <v>574</v>
      </c>
      <c r="C120" s="81">
        <v>90</v>
      </c>
    </row>
    <row r="121" spans="1:3" x14ac:dyDescent="0.2">
      <c r="A121" s="90" t="s">
        <v>513</v>
      </c>
      <c r="B121" s="74" t="s">
        <v>575</v>
      </c>
      <c r="C121" s="81">
        <v>251.1</v>
      </c>
    </row>
    <row r="122" spans="1:3" x14ac:dyDescent="0.2">
      <c r="A122" s="90" t="s">
        <v>513</v>
      </c>
      <c r="B122" s="74" t="s">
        <v>575</v>
      </c>
      <c r="C122" s="81">
        <v>251.1</v>
      </c>
    </row>
    <row r="123" spans="1:3" x14ac:dyDescent="0.2">
      <c r="A123" s="90" t="s">
        <v>513</v>
      </c>
      <c r="B123" s="74" t="s">
        <v>575</v>
      </c>
      <c r="C123" s="81">
        <v>251.1</v>
      </c>
    </row>
    <row r="124" spans="1:3" x14ac:dyDescent="0.2">
      <c r="A124" s="90" t="s">
        <v>513</v>
      </c>
      <c r="B124" s="74" t="s">
        <v>575</v>
      </c>
      <c r="C124" s="81">
        <v>251.1</v>
      </c>
    </row>
    <row r="125" spans="1:3" x14ac:dyDescent="0.2">
      <c r="A125" s="90" t="s">
        <v>513</v>
      </c>
      <c r="B125" s="74" t="s">
        <v>576</v>
      </c>
      <c r="C125" s="81">
        <v>126</v>
      </c>
    </row>
    <row r="126" spans="1:3" x14ac:dyDescent="0.2">
      <c r="A126" s="90" t="s">
        <v>513</v>
      </c>
      <c r="B126" s="74" t="s">
        <v>576</v>
      </c>
      <c r="C126" s="81">
        <v>126</v>
      </c>
    </row>
    <row r="127" spans="1:3" x14ac:dyDescent="0.2">
      <c r="A127" s="90" t="s">
        <v>513</v>
      </c>
      <c r="B127" s="74" t="s">
        <v>577</v>
      </c>
      <c r="C127" s="81">
        <v>170.1</v>
      </c>
    </row>
    <row r="128" spans="1:3" x14ac:dyDescent="0.2">
      <c r="A128" s="90" t="s">
        <v>513</v>
      </c>
      <c r="B128" s="74" t="s">
        <v>577</v>
      </c>
      <c r="C128" s="81">
        <v>170.1</v>
      </c>
    </row>
    <row r="129" spans="1:3" x14ac:dyDescent="0.2">
      <c r="A129" s="90" t="s">
        <v>513</v>
      </c>
      <c r="B129" s="74" t="s">
        <v>577</v>
      </c>
      <c r="C129" s="81">
        <v>170.1</v>
      </c>
    </row>
    <row r="130" spans="1:3" x14ac:dyDescent="0.2">
      <c r="A130" s="90" t="s">
        <v>513</v>
      </c>
      <c r="B130" s="74" t="s">
        <v>578</v>
      </c>
      <c r="C130" s="81">
        <v>202.5</v>
      </c>
    </row>
    <row r="131" spans="1:3" x14ac:dyDescent="0.2">
      <c r="A131" s="90" t="s">
        <v>513</v>
      </c>
      <c r="B131" s="74" t="s">
        <v>578</v>
      </c>
      <c r="C131" s="81">
        <v>202.5</v>
      </c>
    </row>
    <row r="132" spans="1:3" x14ac:dyDescent="0.2">
      <c r="A132" s="90" t="s">
        <v>513</v>
      </c>
      <c r="B132" s="74" t="s">
        <v>578</v>
      </c>
      <c r="C132" s="81">
        <v>202.5</v>
      </c>
    </row>
    <row r="133" spans="1:3" x14ac:dyDescent="0.2">
      <c r="A133" s="90" t="s">
        <v>513</v>
      </c>
      <c r="B133" s="74" t="s">
        <v>579</v>
      </c>
      <c r="C133" s="81">
        <v>260.10000000000002</v>
      </c>
    </row>
    <row r="134" spans="1:3" x14ac:dyDescent="0.2">
      <c r="A134" s="90" t="s">
        <v>513</v>
      </c>
      <c r="B134" s="74" t="s">
        <v>579</v>
      </c>
      <c r="C134" s="81">
        <v>260.10000000000002</v>
      </c>
    </row>
    <row r="135" spans="1:3" x14ac:dyDescent="0.2">
      <c r="A135" s="90" t="s">
        <v>513</v>
      </c>
      <c r="B135" s="74" t="s">
        <v>580</v>
      </c>
      <c r="C135" s="81">
        <v>341.1</v>
      </c>
    </row>
    <row r="136" spans="1:3" x14ac:dyDescent="0.2">
      <c r="A136" s="90" t="s">
        <v>513</v>
      </c>
      <c r="B136" s="74" t="s">
        <v>580</v>
      </c>
      <c r="C136" s="81">
        <v>341.1</v>
      </c>
    </row>
    <row r="137" spans="1:3" x14ac:dyDescent="0.2">
      <c r="A137" s="90" t="s">
        <v>513</v>
      </c>
      <c r="B137" s="74" t="s">
        <v>580</v>
      </c>
      <c r="C137" s="81">
        <v>341.1</v>
      </c>
    </row>
    <row r="138" spans="1:3" x14ac:dyDescent="0.2">
      <c r="A138" s="90" t="s">
        <v>513</v>
      </c>
      <c r="B138" s="74" t="s">
        <v>581</v>
      </c>
      <c r="C138" s="81">
        <v>171</v>
      </c>
    </row>
    <row r="139" spans="1:3" x14ac:dyDescent="0.2">
      <c r="A139" s="90" t="s">
        <v>513</v>
      </c>
      <c r="B139" s="74" t="s">
        <v>581</v>
      </c>
      <c r="C139" s="81">
        <v>171</v>
      </c>
    </row>
    <row r="140" spans="1:3" x14ac:dyDescent="0.2">
      <c r="A140" s="90" t="s">
        <v>513</v>
      </c>
      <c r="B140" s="74" t="s">
        <v>581</v>
      </c>
      <c r="C140" s="81">
        <v>171</v>
      </c>
    </row>
    <row r="141" spans="1:3" x14ac:dyDescent="0.2">
      <c r="A141" s="90" t="s">
        <v>513</v>
      </c>
      <c r="B141" s="74" t="s">
        <v>582</v>
      </c>
      <c r="C141" s="81">
        <v>171</v>
      </c>
    </row>
    <row r="142" spans="1:3" x14ac:dyDescent="0.2">
      <c r="A142" s="90" t="s">
        <v>513</v>
      </c>
      <c r="B142" s="74" t="s">
        <v>582</v>
      </c>
      <c r="C142" s="81">
        <v>171</v>
      </c>
    </row>
    <row r="143" spans="1:3" x14ac:dyDescent="0.2">
      <c r="A143" s="90" t="s">
        <v>513</v>
      </c>
      <c r="B143" s="74" t="s">
        <v>582</v>
      </c>
      <c r="C143" s="81">
        <v>171</v>
      </c>
    </row>
    <row r="144" spans="1:3" x14ac:dyDescent="0.2">
      <c r="A144" s="90" t="s">
        <v>513</v>
      </c>
      <c r="B144" s="74" t="s">
        <v>583</v>
      </c>
      <c r="C144" s="81">
        <v>171</v>
      </c>
    </row>
    <row r="145" spans="1:3" x14ac:dyDescent="0.2">
      <c r="A145" s="90" t="s">
        <v>513</v>
      </c>
      <c r="B145" s="74" t="s">
        <v>583</v>
      </c>
      <c r="C145" s="81">
        <v>171</v>
      </c>
    </row>
    <row r="146" spans="1:3" x14ac:dyDescent="0.2">
      <c r="A146" s="90" t="s">
        <v>513</v>
      </c>
      <c r="B146" s="74" t="s">
        <v>583</v>
      </c>
      <c r="C146" s="81">
        <v>171</v>
      </c>
    </row>
    <row r="147" spans="1:3" x14ac:dyDescent="0.2">
      <c r="A147" s="90" t="s">
        <v>513</v>
      </c>
      <c r="B147" s="74" t="s">
        <v>584</v>
      </c>
      <c r="C147" s="81">
        <v>153</v>
      </c>
    </row>
    <row r="148" spans="1:3" x14ac:dyDescent="0.2">
      <c r="A148" s="90" t="s">
        <v>513</v>
      </c>
      <c r="B148" s="74" t="s">
        <v>584</v>
      </c>
      <c r="C148" s="81">
        <v>153</v>
      </c>
    </row>
    <row r="149" spans="1:3" x14ac:dyDescent="0.2">
      <c r="A149" s="90" t="s">
        <v>513</v>
      </c>
      <c r="B149" s="74" t="s">
        <v>584</v>
      </c>
      <c r="C149" s="81">
        <v>153</v>
      </c>
    </row>
    <row r="150" spans="1:3" x14ac:dyDescent="0.2">
      <c r="A150" s="90" t="s">
        <v>513</v>
      </c>
      <c r="B150" s="74" t="s">
        <v>585</v>
      </c>
      <c r="C150" s="81">
        <v>171</v>
      </c>
    </row>
    <row r="151" spans="1:3" x14ac:dyDescent="0.2">
      <c r="A151" s="90" t="s">
        <v>513</v>
      </c>
      <c r="B151" s="74" t="s">
        <v>585</v>
      </c>
      <c r="C151" s="81">
        <v>171</v>
      </c>
    </row>
    <row r="152" spans="1:3" x14ac:dyDescent="0.2">
      <c r="A152" s="90" t="s">
        <v>513</v>
      </c>
      <c r="B152" s="74" t="s">
        <v>585</v>
      </c>
      <c r="C152" s="81">
        <v>171</v>
      </c>
    </row>
    <row r="153" spans="1:3" x14ac:dyDescent="0.2">
      <c r="A153" s="90" t="s">
        <v>513</v>
      </c>
      <c r="B153" s="74" t="s">
        <v>585</v>
      </c>
      <c r="C153" s="81">
        <v>171</v>
      </c>
    </row>
    <row r="154" spans="1:3" x14ac:dyDescent="0.2">
      <c r="A154" s="90" t="s">
        <v>513</v>
      </c>
      <c r="B154" s="74" t="s">
        <v>586</v>
      </c>
      <c r="C154" s="81">
        <v>153</v>
      </c>
    </row>
    <row r="155" spans="1:3" x14ac:dyDescent="0.2">
      <c r="A155" s="90" t="s">
        <v>513</v>
      </c>
      <c r="B155" s="74" t="s">
        <v>586</v>
      </c>
      <c r="C155" s="81">
        <v>153</v>
      </c>
    </row>
    <row r="156" spans="1:3" x14ac:dyDescent="0.2">
      <c r="A156" s="90" t="s">
        <v>513</v>
      </c>
      <c r="B156" s="74" t="s">
        <v>586</v>
      </c>
      <c r="C156" s="81">
        <v>153</v>
      </c>
    </row>
    <row r="157" spans="1:3" x14ac:dyDescent="0.2">
      <c r="A157" s="90" t="s">
        <v>513</v>
      </c>
      <c r="B157" s="74" t="s">
        <v>586</v>
      </c>
      <c r="C157" s="81">
        <v>153</v>
      </c>
    </row>
    <row r="158" spans="1:3" x14ac:dyDescent="0.2">
      <c r="A158" s="90" t="s">
        <v>513</v>
      </c>
      <c r="B158" s="74" t="s">
        <v>587</v>
      </c>
      <c r="C158" s="81">
        <v>178.2</v>
      </c>
    </row>
    <row r="159" spans="1:3" x14ac:dyDescent="0.2">
      <c r="A159" s="90" t="s">
        <v>513</v>
      </c>
      <c r="B159" s="74" t="s">
        <v>587</v>
      </c>
      <c r="C159" s="81">
        <v>178.2</v>
      </c>
    </row>
    <row r="160" spans="1:3" x14ac:dyDescent="0.2">
      <c r="A160" s="90" t="s">
        <v>513</v>
      </c>
      <c r="B160" s="74" t="s">
        <v>588</v>
      </c>
      <c r="C160" s="81">
        <v>197.1</v>
      </c>
    </row>
    <row r="161" spans="1:3" x14ac:dyDescent="0.2">
      <c r="A161" s="90" t="s">
        <v>513</v>
      </c>
      <c r="B161" s="74" t="s">
        <v>588</v>
      </c>
      <c r="C161" s="81">
        <v>197.1</v>
      </c>
    </row>
    <row r="162" spans="1:3" x14ac:dyDescent="0.2">
      <c r="A162" s="90" t="s">
        <v>513</v>
      </c>
      <c r="B162" s="74" t="s">
        <v>589</v>
      </c>
      <c r="C162" s="81">
        <v>170.1</v>
      </c>
    </row>
    <row r="163" spans="1:3" x14ac:dyDescent="0.2">
      <c r="A163" s="90" t="s">
        <v>513</v>
      </c>
      <c r="B163" s="74" t="s">
        <v>589</v>
      </c>
      <c r="C163" s="81">
        <v>170.1</v>
      </c>
    </row>
    <row r="164" spans="1:3" x14ac:dyDescent="0.2">
      <c r="A164" s="90" t="s">
        <v>513</v>
      </c>
      <c r="B164" s="74" t="s">
        <v>590</v>
      </c>
      <c r="C164" s="81">
        <v>170.1</v>
      </c>
    </row>
    <row r="165" spans="1:3" x14ac:dyDescent="0.2">
      <c r="A165" s="90" t="s">
        <v>513</v>
      </c>
      <c r="B165" s="74" t="s">
        <v>590</v>
      </c>
      <c r="C165" s="81">
        <v>170.1</v>
      </c>
    </row>
    <row r="166" spans="1:3" x14ac:dyDescent="0.2">
      <c r="A166" s="90" t="s">
        <v>513</v>
      </c>
      <c r="B166" s="74" t="s">
        <v>591</v>
      </c>
      <c r="C166" s="81">
        <v>179.1</v>
      </c>
    </row>
    <row r="167" spans="1:3" x14ac:dyDescent="0.2">
      <c r="A167" s="90" t="s">
        <v>513</v>
      </c>
      <c r="B167" s="74" t="s">
        <v>591</v>
      </c>
      <c r="C167" s="81">
        <v>179.1</v>
      </c>
    </row>
    <row r="168" spans="1:3" x14ac:dyDescent="0.2">
      <c r="A168" s="90" t="s">
        <v>513</v>
      </c>
      <c r="B168" s="74" t="s">
        <v>592</v>
      </c>
      <c r="C168" s="81">
        <v>207</v>
      </c>
    </row>
    <row r="169" spans="1:3" x14ac:dyDescent="0.2">
      <c r="A169" s="90" t="s">
        <v>513</v>
      </c>
      <c r="B169" s="74" t="s">
        <v>592</v>
      </c>
      <c r="C169" s="81">
        <v>207</v>
      </c>
    </row>
    <row r="170" spans="1:3" x14ac:dyDescent="0.2">
      <c r="A170" s="90" t="s">
        <v>513</v>
      </c>
      <c r="B170" s="74" t="s">
        <v>593</v>
      </c>
      <c r="C170" s="81">
        <v>180</v>
      </c>
    </row>
    <row r="171" spans="1:3" x14ac:dyDescent="0.2">
      <c r="A171" s="90" t="s">
        <v>513</v>
      </c>
      <c r="B171" s="74" t="s">
        <v>593</v>
      </c>
      <c r="C171" s="81">
        <v>180</v>
      </c>
    </row>
    <row r="172" spans="1:3" x14ac:dyDescent="0.2">
      <c r="A172" s="90" t="s">
        <v>513</v>
      </c>
      <c r="B172" s="74" t="s">
        <v>594</v>
      </c>
      <c r="C172" s="81">
        <v>1602</v>
      </c>
    </row>
    <row r="173" spans="1:3" x14ac:dyDescent="0.2">
      <c r="A173" s="90" t="s">
        <v>513</v>
      </c>
      <c r="B173" s="74" t="s">
        <v>595</v>
      </c>
      <c r="C173" s="81">
        <v>37.799999999999997</v>
      </c>
    </row>
    <row r="174" spans="1:3" x14ac:dyDescent="0.2">
      <c r="A174" s="90" t="s">
        <v>513</v>
      </c>
      <c r="B174" s="74" t="s">
        <v>596</v>
      </c>
      <c r="C174" s="81">
        <v>126</v>
      </c>
    </row>
    <row r="175" spans="1:3" x14ac:dyDescent="0.2">
      <c r="A175" s="90" t="s">
        <v>513</v>
      </c>
      <c r="B175" s="74" t="s">
        <v>596</v>
      </c>
      <c r="C175" s="81">
        <v>126</v>
      </c>
    </row>
    <row r="176" spans="1:3" x14ac:dyDescent="0.2">
      <c r="A176" s="90" t="s">
        <v>513</v>
      </c>
      <c r="B176" s="74" t="s">
        <v>596</v>
      </c>
      <c r="C176" s="81">
        <v>126</v>
      </c>
    </row>
    <row r="177" spans="1:3" x14ac:dyDescent="0.2">
      <c r="A177" s="90" t="s">
        <v>513</v>
      </c>
      <c r="B177" s="74" t="s">
        <v>597</v>
      </c>
      <c r="C177" s="81">
        <v>78.3</v>
      </c>
    </row>
    <row r="178" spans="1:3" x14ac:dyDescent="0.2">
      <c r="A178" s="90" t="s">
        <v>513</v>
      </c>
      <c r="B178" s="74" t="s">
        <v>598</v>
      </c>
      <c r="C178" s="81">
        <v>189</v>
      </c>
    </row>
    <row r="179" spans="1:3" x14ac:dyDescent="0.2">
      <c r="A179" s="90" t="s">
        <v>513</v>
      </c>
      <c r="B179" s="74" t="s">
        <v>599</v>
      </c>
      <c r="C179" s="81">
        <v>139.5</v>
      </c>
    </row>
    <row r="180" spans="1:3" x14ac:dyDescent="0.2">
      <c r="A180" s="90" t="s">
        <v>513</v>
      </c>
      <c r="B180" s="74" t="s">
        <v>599</v>
      </c>
      <c r="C180" s="81">
        <v>139.5</v>
      </c>
    </row>
    <row r="181" spans="1:3" x14ac:dyDescent="0.2">
      <c r="A181" s="90" t="s">
        <v>513</v>
      </c>
      <c r="B181" s="74" t="s">
        <v>599</v>
      </c>
      <c r="C181" s="81">
        <v>139.5</v>
      </c>
    </row>
    <row r="182" spans="1:3" x14ac:dyDescent="0.2">
      <c r="A182" s="90" t="s">
        <v>513</v>
      </c>
      <c r="B182" s="74" t="s">
        <v>600</v>
      </c>
      <c r="C182" s="81">
        <v>63</v>
      </c>
    </row>
    <row r="183" spans="1:3" x14ac:dyDescent="0.2">
      <c r="A183" s="90" t="s">
        <v>513</v>
      </c>
      <c r="B183" s="74" t="s">
        <v>600</v>
      </c>
      <c r="C183" s="81">
        <v>63</v>
      </c>
    </row>
    <row r="184" spans="1:3" x14ac:dyDescent="0.2">
      <c r="A184" s="90" t="s">
        <v>513</v>
      </c>
      <c r="B184" s="74" t="s">
        <v>601</v>
      </c>
      <c r="C184" s="81">
        <v>153</v>
      </c>
    </row>
    <row r="185" spans="1:3" x14ac:dyDescent="0.2">
      <c r="A185" s="90" t="s">
        <v>513</v>
      </c>
      <c r="B185" s="74" t="s">
        <v>601</v>
      </c>
      <c r="C185" s="81">
        <v>153</v>
      </c>
    </row>
    <row r="186" spans="1:3" x14ac:dyDescent="0.2">
      <c r="A186" s="90" t="s">
        <v>513</v>
      </c>
      <c r="B186" s="74" t="s">
        <v>601</v>
      </c>
      <c r="C186" s="81">
        <v>153</v>
      </c>
    </row>
    <row r="187" spans="1:3" x14ac:dyDescent="0.2">
      <c r="A187" s="90" t="s">
        <v>513</v>
      </c>
      <c r="B187" s="74" t="s">
        <v>602</v>
      </c>
      <c r="C187" s="81">
        <v>283.5</v>
      </c>
    </row>
    <row r="188" spans="1:3" x14ac:dyDescent="0.2">
      <c r="A188" s="90" t="s">
        <v>513</v>
      </c>
      <c r="B188" s="74" t="s">
        <v>602</v>
      </c>
      <c r="C188" s="81">
        <v>283.5</v>
      </c>
    </row>
    <row r="189" spans="1:3" x14ac:dyDescent="0.2">
      <c r="A189" s="90" t="s">
        <v>513</v>
      </c>
      <c r="B189" s="74" t="s">
        <v>602</v>
      </c>
      <c r="C189" s="81">
        <v>283.5</v>
      </c>
    </row>
    <row r="190" spans="1:3" x14ac:dyDescent="0.2">
      <c r="A190" s="90" t="s">
        <v>513</v>
      </c>
      <c r="B190" s="74" t="s">
        <v>603</v>
      </c>
      <c r="C190" s="81">
        <v>85.5</v>
      </c>
    </row>
    <row r="191" spans="1:3" x14ac:dyDescent="0.2">
      <c r="A191" s="90" t="s">
        <v>513</v>
      </c>
      <c r="B191" s="74" t="s">
        <v>603</v>
      </c>
      <c r="C191" s="81">
        <v>85.5</v>
      </c>
    </row>
    <row r="192" spans="1:3" x14ac:dyDescent="0.2">
      <c r="A192" s="90" t="s">
        <v>513</v>
      </c>
      <c r="B192" s="74" t="s">
        <v>603</v>
      </c>
      <c r="C192" s="81">
        <v>85.5</v>
      </c>
    </row>
    <row r="193" spans="1:3" x14ac:dyDescent="0.2">
      <c r="A193" s="90" t="s">
        <v>513</v>
      </c>
      <c r="B193" s="74" t="s">
        <v>604</v>
      </c>
      <c r="C193" s="81">
        <v>72</v>
      </c>
    </row>
    <row r="194" spans="1:3" x14ac:dyDescent="0.2">
      <c r="A194" s="90" t="s">
        <v>513</v>
      </c>
      <c r="B194" s="74" t="s">
        <v>604</v>
      </c>
      <c r="C194" s="81">
        <v>72</v>
      </c>
    </row>
    <row r="195" spans="1:3" x14ac:dyDescent="0.2">
      <c r="A195" s="90" t="s">
        <v>513</v>
      </c>
      <c r="B195" s="74" t="s">
        <v>604</v>
      </c>
      <c r="C195" s="81">
        <v>72</v>
      </c>
    </row>
    <row r="196" spans="1:3" x14ac:dyDescent="0.2">
      <c r="A196" s="90" t="s">
        <v>513</v>
      </c>
      <c r="B196" s="74" t="s">
        <v>605</v>
      </c>
      <c r="C196" s="81">
        <v>126</v>
      </c>
    </row>
    <row r="197" spans="1:3" x14ac:dyDescent="0.2">
      <c r="A197" s="90" t="s">
        <v>513</v>
      </c>
      <c r="B197" s="74" t="s">
        <v>605</v>
      </c>
      <c r="C197" s="81">
        <v>126</v>
      </c>
    </row>
    <row r="198" spans="1:3" x14ac:dyDescent="0.2">
      <c r="A198" s="90" t="s">
        <v>513</v>
      </c>
      <c r="B198" s="74" t="s">
        <v>605</v>
      </c>
      <c r="C198" s="81">
        <v>126</v>
      </c>
    </row>
    <row r="199" spans="1:3" x14ac:dyDescent="0.2">
      <c r="A199" s="90" t="s">
        <v>513</v>
      </c>
      <c r="B199" s="74" t="s">
        <v>606</v>
      </c>
      <c r="C199" s="81">
        <v>126</v>
      </c>
    </row>
    <row r="200" spans="1:3" x14ac:dyDescent="0.2">
      <c r="A200" s="90" t="s">
        <v>513</v>
      </c>
      <c r="B200" s="74" t="s">
        <v>606</v>
      </c>
      <c r="C200" s="81">
        <v>126</v>
      </c>
    </row>
    <row r="201" spans="1:3" x14ac:dyDescent="0.2">
      <c r="A201" s="90" t="s">
        <v>513</v>
      </c>
      <c r="B201" s="74" t="s">
        <v>607</v>
      </c>
      <c r="C201" s="81">
        <v>234</v>
      </c>
    </row>
    <row r="202" spans="1:3" x14ac:dyDescent="0.2">
      <c r="A202" s="90" t="s">
        <v>513</v>
      </c>
      <c r="B202" s="74" t="s">
        <v>607</v>
      </c>
      <c r="C202" s="81">
        <v>234</v>
      </c>
    </row>
    <row r="203" spans="1:3" x14ac:dyDescent="0.2">
      <c r="A203" s="90" t="s">
        <v>513</v>
      </c>
      <c r="B203" s="74" t="s">
        <v>608</v>
      </c>
      <c r="C203" s="81">
        <v>151.19999999999999</v>
      </c>
    </row>
    <row r="204" spans="1:3" x14ac:dyDescent="0.2">
      <c r="A204" s="90" t="s">
        <v>513</v>
      </c>
      <c r="B204" s="74" t="s">
        <v>609</v>
      </c>
      <c r="C204" s="81">
        <v>179.1</v>
      </c>
    </row>
    <row r="205" spans="1:3" x14ac:dyDescent="0.2">
      <c r="A205" s="90" t="s">
        <v>513</v>
      </c>
      <c r="B205" s="74" t="s">
        <v>610</v>
      </c>
      <c r="C205" s="81">
        <v>103.5</v>
      </c>
    </row>
    <row r="206" spans="1:3" x14ac:dyDescent="0.2">
      <c r="A206" s="90" t="s">
        <v>513</v>
      </c>
      <c r="B206" s="74" t="s">
        <v>611</v>
      </c>
      <c r="C206" s="81">
        <v>72</v>
      </c>
    </row>
    <row r="207" spans="1:3" x14ac:dyDescent="0.2">
      <c r="A207" s="90" t="s">
        <v>513</v>
      </c>
      <c r="B207" s="74" t="s">
        <v>612</v>
      </c>
      <c r="C207" s="81">
        <v>121.5</v>
      </c>
    </row>
    <row r="208" spans="1:3" x14ac:dyDescent="0.2">
      <c r="A208" s="90" t="s">
        <v>513</v>
      </c>
      <c r="B208" s="74" t="s">
        <v>613</v>
      </c>
      <c r="C208" s="81">
        <v>249.3</v>
      </c>
    </row>
    <row r="209" spans="1:3" x14ac:dyDescent="0.2">
      <c r="A209" s="90" t="s">
        <v>513</v>
      </c>
      <c r="B209" s="74" t="s">
        <v>614</v>
      </c>
      <c r="C209" s="81">
        <v>126</v>
      </c>
    </row>
    <row r="210" spans="1:3" x14ac:dyDescent="0.2">
      <c r="A210" s="90" t="s">
        <v>513</v>
      </c>
      <c r="B210" s="74" t="s">
        <v>615</v>
      </c>
      <c r="C210" s="81">
        <v>165.6</v>
      </c>
    </row>
    <row r="211" spans="1:3" x14ac:dyDescent="0.2">
      <c r="A211" s="90" t="s">
        <v>513</v>
      </c>
      <c r="B211" s="74" t="s">
        <v>615</v>
      </c>
      <c r="C211" s="81">
        <v>165.6</v>
      </c>
    </row>
    <row r="212" spans="1:3" x14ac:dyDescent="0.2">
      <c r="A212" s="90" t="s">
        <v>513</v>
      </c>
      <c r="B212" s="74" t="s">
        <v>616</v>
      </c>
      <c r="C212" s="81">
        <v>80.099999999999994</v>
      </c>
    </row>
    <row r="213" spans="1:3" x14ac:dyDescent="0.2">
      <c r="A213" s="90" t="s">
        <v>513</v>
      </c>
      <c r="B213" s="74" t="s">
        <v>617</v>
      </c>
      <c r="C213" s="81">
        <v>198</v>
      </c>
    </row>
    <row r="214" spans="1:3" x14ac:dyDescent="0.2">
      <c r="A214" s="90" t="s">
        <v>513</v>
      </c>
      <c r="B214" s="74" t="s">
        <v>617</v>
      </c>
      <c r="C214" s="81">
        <v>198</v>
      </c>
    </row>
    <row r="215" spans="1:3" x14ac:dyDescent="0.2">
      <c r="A215" s="90" t="s">
        <v>513</v>
      </c>
      <c r="B215" s="74" t="s">
        <v>618</v>
      </c>
      <c r="C215" s="81">
        <v>135</v>
      </c>
    </row>
    <row r="216" spans="1:3" x14ac:dyDescent="0.2">
      <c r="A216" s="90" t="s">
        <v>513</v>
      </c>
      <c r="B216" s="74" t="s">
        <v>618</v>
      </c>
      <c r="C216" s="81">
        <v>135</v>
      </c>
    </row>
    <row r="217" spans="1:3" x14ac:dyDescent="0.2">
      <c r="A217" s="90" t="s">
        <v>513</v>
      </c>
      <c r="B217" s="74" t="s">
        <v>618</v>
      </c>
      <c r="C217" s="81">
        <v>135</v>
      </c>
    </row>
    <row r="218" spans="1:3" x14ac:dyDescent="0.2">
      <c r="A218" s="90" t="s">
        <v>513</v>
      </c>
      <c r="B218" s="74" t="s">
        <v>619</v>
      </c>
      <c r="C218" s="81">
        <v>161.1</v>
      </c>
    </row>
    <row r="219" spans="1:3" x14ac:dyDescent="0.2">
      <c r="A219" s="90" t="s">
        <v>513</v>
      </c>
      <c r="B219" s="74" t="s">
        <v>619</v>
      </c>
      <c r="C219" s="81">
        <v>161.1</v>
      </c>
    </row>
    <row r="220" spans="1:3" x14ac:dyDescent="0.2">
      <c r="A220" s="90" t="s">
        <v>513</v>
      </c>
      <c r="B220" s="74" t="s">
        <v>619</v>
      </c>
      <c r="C220" s="81">
        <v>161.1</v>
      </c>
    </row>
    <row r="221" spans="1:3" x14ac:dyDescent="0.2">
      <c r="A221" s="90" t="s">
        <v>513</v>
      </c>
      <c r="B221" s="74" t="s">
        <v>620</v>
      </c>
      <c r="C221" s="81">
        <v>179.1</v>
      </c>
    </row>
    <row r="222" spans="1:3" x14ac:dyDescent="0.2">
      <c r="A222" s="90" t="s">
        <v>513</v>
      </c>
      <c r="B222" s="74" t="s">
        <v>620</v>
      </c>
      <c r="C222" s="81">
        <v>179.1</v>
      </c>
    </row>
    <row r="223" spans="1:3" x14ac:dyDescent="0.2">
      <c r="A223" s="90" t="s">
        <v>513</v>
      </c>
      <c r="B223" s="74" t="s">
        <v>621</v>
      </c>
      <c r="C223" s="81">
        <v>287.10000000000002</v>
      </c>
    </row>
    <row r="224" spans="1:3" x14ac:dyDescent="0.2">
      <c r="A224" s="90" t="s">
        <v>513</v>
      </c>
      <c r="B224" s="74" t="s">
        <v>621</v>
      </c>
      <c r="C224" s="81">
        <v>287.10000000000002</v>
      </c>
    </row>
    <row r="225" spans="1:3" x14ac:dyDescent="0.2">
      <c r="A225" s="90" t="s">
        <v>513</v>
      </c>
      <c r="B225" s="74" t="s">
        <v>621</v>
      </c>
      <c r="C225" s="81">
        <v>287.10000000000002</v>
      </c>
    </row>
    <row r="226" spans="1:3" x14ac:dyDescent="0.2">
      <c r="A226" s="90" t="s">
        <v>513</v>
      </c>
      <c r="B226" s="74" t="s">
        <v>622</v>
      </c>
      <c r="C226" s="81">
        <v>269.10000000000002</v>
      </c>
    </row>
    <row r="227" spans="1:3" x14ac:dyDescent="0.2">
      <c r="A227" s="90" t="s">
        <v>513</v>
      </c>
      <c r="B227" s="74" t="s">
        <v>622</v>
      </c>
      <c r="C227" s="81">
        <v>269.10000000000002</v>
      </c>
    </row>
    <row r="228" spans="1:3" x14ac:dyDescent="0.2">
      <c r="A228" s="90" t="s">
        <v>513</v>
      </c>
      <c r="B228" s="74" t="s">
        <v>622</v>
      </c>
      <c r="C228" s="81">
        <v>269.10000000000002</v>
      </c>
    </row>
    <row r="229" spans="1:3" x14ac:dyDescent="0.2">
      <c r="A229" s="90" t="s">
        <v>513</v>
      </c>
      <c r="B229" s="74" t="s">
        <v>623</v>
      </c>
      <c r="C229" s="81">
        <v>278.10000000000002</v>
      </c>
    </row>
    <row r="230" spans="1:3" x14ac:dyDescent="0.2">
      <c r="A230" s="90" t="s">
        <v>513</v>
      </c>
      <c r="B230" s="74" t="s">
        <v>623</v>
      </c>
      <c r="C230" s="81">
        <v>278.10000000000002</v>
      </c>
    </row>
    <row r="231" spans="1:3" x14ac:dyDescent="0.2">
      <c r="A231" s="90" t="s">
        <v>513</v>
      </c>
      <c r="B231" s="74" t="s">
        <v>623</v>
      </c>
      <c r="C231" s="81">
        <v>278.10000000000002</v>
      </c>
    </row>
    <row r="232" spans="1:3" x14ac:dyDescent="0.2">
      <c r="A232" s="90" t="s">
        <v>513</v>
      </c>
      <c r="B232" s="74" t="s">
        <v>624</v>
      </c>
      <c r="C232" s="81">
        <v>153</v>
      </c>
    </row>
    <row r="233" spans="1:3" x14ac:dyDescent="0.2">
      <c r="A233" s="90" t="s">
        <v>513</v>
      </c>
      <c r="B233" s="74" t="s">
        <v>625</v>
      </c>
      <c r="C233" s="81">
        <v>259.2</v>
      </c>
    </row>
    <row r="234" spans="1:3" x14ac:dyDescent="0.2">
      <c r="A234" s="90" t="s">
        <v>513</v>
      </c>
      <c r="B234" s="74" t="s">
        <v>625</v>
      </c>
      <c r="C234" s="81">
        <v>259.2</v>
      </c>
    </row>
    <row r="235" spans="1:3" x14ac:dyDescent="0.2">
      <c r="A235" s="90" t="s">
        <v>513</v>
      </c>
      <c r="B235" s="74" t="s">
        <v>626</v>
      </c>
      <c r="C235" s="81">
        <v>233.1</v>
      </c>
    </row>
    <row r="236" spans="1:3" x14ac:dyDescent="0.2">
      <c r="A236" s="90" t="s">
        <v>513</v>
      </c>
      <c r="B236" s="74" t="s">
        <v>626</v>
      </c>
      <c r="C236" s="81">
        <v>233.1</v>
      </c>
    </row>
    <row r="237" spans="1:3" x14ac:dyDescent="0.2">
      <c r="A237" s="90" t="s">
        <v>513</v>
      </c>
      <c r="B237" s="74" t="s">
        <v>626</v>
      </c>
      <c r="C237" s="81">
        <v>233.1</v>
      </c>
    </row>
    <row r="238" spans="1:3" x14ac:dyDescent="0.2">
      <c r="A238" s="90" t="s">
        <v>513</v>
      </c>
      <c r="B238" s="74" t="s">
        <v>627</v>
      </c>
      <c r="C238" s="81">
        <v>265.5</v>
      </c>
    </row>
    <row r="239" spans="1:3" x14ac:dyDescent="0.2">
      <c r="A239" s="90" t="s">
        <v>513</v>
      </c>
      <c r="B239" s="74" t="s">
        <v>627</v>
      </c>
      <c r="C239" s="81">
        <v>265.5</v>
      </c>
    </row>
    <row r="240" spans="1:3" x14ac:dyDescent="0.2">
      <c r="A240" s="90" t="s">
        <v>513</v>
      </c>
      <c r="B240" s="74" t="s">
        <v>627</v>
      </c>
      <c r="C240" s="81">
        <v>265.5</v>
      </c>
    </row>
    <row r="241" spans="1:3" x14ac:dyDescent="0.2">
      <c r="A241" s="90" t="s">
        <v>513</v>
      </c>
      <c r="B241" s="74" t="s">
        <v>628</v>
      </c>
      <c r="C241" s="81">
        <v>126</v>
      </c>
    </row>
    <row r="242" spans="1:3" x14ac:dyDescent="0.2">
      <c r="A242" s="90" t="s">
        <v>513</v>
      </c>
      <c r="B242" s="74" t="s">
        <v>628</v>
      </c>
      <c r="C242" s="81">
        <v>126</v>
      </c>
    </row>
    <row r="243" spans="1:3" x14ac:dyDescent="0.2">
      <c r="A243" s="90" t="s">
        <v>513</v>
      </c>
      <c r="B243" s="74" t="s">
        <v>628</v>
      </c>
      <c r="C243" s="81">
        <v>126</v>
      </c>
    </row>
    <row r="244" spans="1:3" x14ac:dyDescent="0.2">
      <c r="A244" s="90" t="s">
        <v>513</v>
      </c>
      <c r="B244" s="74" t="s">
        <v>629</v>
      </c>
      <c r="C244" s="81">
        <v>206.1</v>
      </c>
    </row>
    <row r="245" spans="1:3" x14ac:dyDescent="0.2">
      <c r="A245" s="90" t="s">
        <v>513</v>
      </c>
      <c r="B245" s="74" t="s">
        <v>629</v>
      </c>
      <c r="C245" s="81">
        <v>206.1</v>
      </c>
    </row>
    <row r="246" spans="1:3" x14ac:dyDescent="0.2">
      <c r="A246" s="90" t="s">
        <v>513</v>
      </c>
      <c r="B246" s="74" t="s">
        <v>630</v>
      </c>
      <c r="C246" s="81">
        <v>90</v>
      </c>
    </row>
    <row r="247" spans="1:3" x14ac:dyDescent="0.2">
      <c r="A247" s="90" t="s">
        <v>513</v>
      </c>
      <c r="B247" s="74" t="s">
        <v>630</v>
      </c>
      <c r="C247" s="81">
        <v>90</v>
      </c>
    </row>
    <row r="248" spans="1:3" x14ac:dyDescent="0.2">
      <c r="A248" s="90" t="s">
        <v>513</v>
      </c>
      <c r="B248" s="74" t="s">
        <v>631</v>
      </c>
      <c r="C248" s="81">
        <v>277.2</v>
      </c>
    </row>
    <row r="249" spans="1:3" x14ac:dyDescent="0.2">
      <c r="A249" s="90" t="s">
        <v>513</v>
      </c>
      <c r="B249" s="74" t="s">
        <v>632</v>
      </c>
      <c r="C249" s="81">
        <v>454.5</v>
      </c>
    </row>
    <row r="250" spans="1:3" x14ac:dyDescent="0.2">
      <c r="A250" s="90" t="s">
        <v>513</v>
      </c>
      <c r="B250" s="74" t="s">
        <v>621</v>
      </c>
      <c r="C250" s="81">
        <v>207</v>
      </c>
    </row>
    <row r="251" spans="1:3" x14ac:dyDescent="0.2">
      <c r="A251" s="90" t="s">
        <v>513</v>
      </c>
      <c r="B251" s="74" t="s">
        <v>621</v>
      </c>
      <c r="C251" s="81">
        <v>207</v>
      </c>
    </row>
    <row r="252" spans="1:3" x14ac:dyDescent="0.2">
      <c r="A252" s="90" t="s">
        <v>513</v>
      </c>
      <c r="B252" s="74" t="s">
        <v>621</v>
      </c>
      <c r="C252" s="81">
        <v>207</v>
      </c>
    </row>
    <row r="253" spans="1:3" x14ac:dyDescent="0.2">
      <c r="A253" s="90" t="s">
        <v>513</v>
      </c>
      <c r="B253" s="74" t="s">
        <v>633</v>
      </c>
      <c r="C253" s="81">
        <v>288</v>
      </c>
    </row>
    <row r="254" spans="1:3" x14ac:dyDescent="0.2">
      <c r="A254" s="90" t="s">
        <v>513</v>
      </c>
      <c r="B254" s="74" t="s">
        <v>633</v>
      </c>
      <c r="C254" s="81">
        <v>288</v>
      </c>
    </row>
    <row r="255" spans="1:3" x14ac:dyDescent="0.2">
      <c r="A255" s="90" t="s">
        <v>513</v>
      </c>
      <c r="B255" s="74" t="s">
        <v>633</v>
      </c>
      <c r="C255" s="81">
        <v>288</v>
      </c>
    </row>
    <row r="256" spans="1:3" x14ac:dyDescent="0.2">
      <c r="A256" s="90" t="s">
        <v>513</v>
      </c>
      <c r="B256" s="74" t="s">
        <v>633</v>
      </c>
      <c r="C256" s="81">
        <v>348.3</v>
      </c>
    </row>
    <row r="257" spans="1:3" x14ac:dyDescent="0.2">
      <c r="A257" s="90" t="s">
        <v>513</v>
      </c>
      <c r="B257" s="74" t="s">
        <v>633</v>
      </c>
      <c r="C257" s="81">
        <v>348.3</v>
      </c>
    </row>
    <row r="258" spans="1:3" x14ac:dyDescent="0.2">
      <c r="A258" s="90" t="s">
        <v>513</v>
      </c>
      <c r="B258" s="74" t="s">
        <v>633</v>
      </c>
      <c r="C258" s="81">
        <v>348.3</v>
      </c>
    </row>
    <row r="259" spans="1:3" x14ac:dyDescent="0.2">
      <c r="A259" s="90" t="s">
        <v>513</v>
      </c>
      <c r="B259" s="74" t="s">
        <v>634</v>
      </c>
      <c r="C259" s="81">
        <v>62.1</v>
      </c>
    </row>
    <row r="260" spans="1:3" x14ac:dyDescent="0.2">
      <c r="A260" s="90" t="s">
        <v>513</v>
      </c>
      <c r="B260" s="74" t="s">
        <v>634</v>
      </c>
      <c r="C260" s="81">
        <v>62.1</v>
      </c>
    </row>
    <row r="261" spans="1:3" x14ac:dyDescent="0.2">
      <c r="A261" s="90" t="s">
        <v>513</v>
      </c>
      <c r="B261" s="74" t="s">
        <v>634</v>
      </c>
      <c r="C261" s="81">
        <v>62.1</v>
      </c>
    </row>
    <row r="262" spans="1:3" x14ac:dyDescent="0.2">
      <c r="A262" s="90" t="s">
        <v>513</v>
      </c>
      <c r="B262" s="74" t="s">
        <v>621</v>
      </c>
      <c r="C262" s="81">
        <v>216</v>
      </c>
    </row>
    <row r="263" spans="1:3" x14ac:dyDescent="0.2">
      <c r="A263" s="90" t="s">
        <v>513</v>
      </c>
      <c r="B263" s="74" t="s">
        <v>621</v>
      </c>
      <c r="C263" s="81">
        <v>216</v>
      </c>
    </row>
    <row r="264" spans="1:3" x14ac:dyDescent="0.2">
      <c r="A264" s="90" t="s">
        <v>513</v>
      </c>
      <c r="B264" s="74" t="s">
        <v>621</v>
      </c>
      <c r="C264" s="81">
        <v>216</v>
      </c>
    </row>
    <row r="265" spans="1:3" x14ac:dyDescent="0.2">
      <c r="A265" s="90" t="s">
        <v>513</v>
      </c>
      <c r="B265" s="74" t="s">
        <v>623</v>
      </c>
      <c r="C265" s="81">
        <v>278.10000000000002</v>
      </c>
    </row>
    <row r="266" spans="1:3" x14ac:dyDescent="0.2">
      <c r="A266" s="90" t="s">
        <v>513</v>
      </c>
      <c r="B266" s="74" t="s">
        <v>623</v>
      </c>
      <c r="C266" s="81">
        <v>278.10000000000002</v>
      </c>
    </row>
    <row r="267" spans="1:3" x14ac:dyDescent="0.2">
      <c r="A267" s="90" t="s">
        <v>513</v>
      </c>
      <c r="B267" s="74" t="s">
        <v>623</v>
      </c>
      <c r="C267" s="81">
        <v>278.10000000000002</v>
      </c>
    </row>
    <row r="268" spans="1:3" x14ac:dyDescent="0.2">
      <c r="A268" s="90" t="s">
        <v>513</v>
      </c>
      <c r="B268" s="74" t="s">
        <v>635</v>
      </c>
      <c r="C268" s="81">
        <v>468</v>
      </c>
    </row>
    <row r="269" spans="1:3" x14ac:dyDescent="0.2">
      <c r="A269" s="90" t="s">
        <v>513</v>
      </c>
      <c r="B269" s="74" t="s">
        <v>635</v>
      </c>
      <c r="C269" s="81">
        <v>468</v>
      </c>
    </row>
    <row r="270" spans="1:3" x14ac:dyDescent="0.2">
      <c r="A270" s="90" t="s">
        <v>513</v>
      </c>
      <c r="B270" s="74" t="s">
        <v>636</v>
      </c>
      <c r="C270" s="81">
        <v>108</v>
      </c>
    </row>
    <row r="271" spans="1:3" x14ac:dyDescent="0.2">
      <c r="A271" s="90" t="s">
        <v>513</v>
      </c>
      <c r="B271" s="74" t="s">
        <v>636</v>
      </c>
      <c r="C271" s="81">
        <v>108</v>
      </c>
    </row>
    <row r="272" spans="1:3" x14ac:dyDescent="0.2">
      <c r="A272" s="90" t="s">
        <v>513</v>
      </c>
      <c r="B272" s="74" t="s">
        <v>637</v>
      </c>
      <c r="C272" s="81">
        <v>98.1</v>
      </c>
    </row>
    <row r="273" spans="1:3" x14ac:dyDescent="0.2">
      <c r="A273" s="90" t="s">
        <v>513</v>
      </c>
      <c r="B273" s="74" t="s">
        <v>638</v>
      </c>
      <c r="C273" s="81">
        <v>198</v>
      </c>
    </row>
    <row r="274" spans="1:3" x14ac:dyDescent="0.2">
      <c r="A274" s="90" t="s">
        <v>513</v>
      </c>
      <c r="B274" s="74" t="s">
        <v>639</v>
      </c>
      <c r="C274" s="81">
        <v>67.5</v>
      </c>
    </row>
    <row r="275" spans="1:3" x14ac:dyDescent="0.2">
      <c r="A275" s="90" t="s">
        <v>513</v>
      </c>
      <c r="B275" s="74" t="s">
        <v>639</v>
      </c>
      <c r="C275" s="81">
        <v>67.5</v>
      </c>
    </row>
    <row r="276" spans="1:3" x14ac:dyDescent="0.2">
      <c r="A276" s="90" t="s">
        <v>513</v>
      </c>
      <c r="B276" s="74" t="s">
        <v>640</v>
      </c>
      <c r="C276" s="81">
        <v>175.5</v>
      </c>
    </row>
    <row r="277" spans="1:3" x14ac:dyDescent="0.2">
      <c r="A277" s="90" t="s">
        <v>513</v>
      </c>
      <c r="B277" s="74" t="s">
        <v>641</v>
      </c>
      <c r="C277" s="81">
        <v>180</v>
      </c>
    </row>
    <row r="278" spans="1:3" x14ac:dyDescent="0.2">
      <c r="A278" s="90" t="s">
        <v>513</v>
      </c>
      <c r="B278" s="74" t="s">
        <v>642</v>
      </c>
      <c r="C278" s="81">
        <v>261</v>
      </c>
    </row>
    <row r="279" spans="1:3" x14ac:dyDescent="0.2">
      <c r="A279" s="90" t="s">
        <v>513</v>
      </c>
      <c r="B279" s="74" t="s">
        <v>642</v>
      </c>
      <c r="C279" s="81">
        <v>261</v>
      </c>
    </row>
    <row r="280" spans="1:3" x14ac:dyDescent="0.2">
      <c r="A280" s="90" t="s">
        <v>513</v>
      </c>
      <c r="B280" s="74" t="s">
        <v>643</v>
      </c>
      <c r="C280" s="81">
        <v>265.5</v>
      </c>
    </row>
    <row r="281" spans="1:3" x14ac:dyDescent="0.2">
      <c r="A281" s="90" t="s">
        <v>513</v>
      </c>
      <c r="B281" s="74" t="s">
        <v>643</v>
      </c>
      <c r="C281" s="81">
        <v>265.5</v>
      </c>
    </row>
    <row r="282" spans="1:3" x14ac:dyDescent="0.2">
      <c r="A282" s="90" t="s">
        <v>513</v>
      </c>
      <c r="B282" s="74" t="s">
        <v>644</v>
      </c>
      <c r="C282" s="81">
        <v>270</v>
      </c>
    </row>
    <row r="283" spans="1:3" x14ac:dyDescent="0.2">
      <c r="A283" s="90" t="s">
        <v>513</v>
      </c>
      <c r="B283" s="74" t="s">
        <v>644</v>
      </c>
      <c r="C283" s="81">
        <v>270</v>
      </c>
    </row>
    <row r="284" spans="1:3" x14ac:dyDescent="0.2">
      <c r="A284" s="90" t="s">
        <v>513</v>
      </c>
      <c r="B284" s="74" t="s">
        <v>644</v>
      </c>
      <c r="C284" s="81">
        <v>252</v>
      </c>
    </row>
    <row r="285" spans="1:3" x14ac:dyDescent="0.2">
      <c r="A285" s="90" t="s">
        <v>513</v>
      </c>
      <c r="B285" s="74" t="s">
        <v>644</v>
      </c>
      <c r="C285" s="81">
        <v>252</v>
      </c>
    </row>
    <row r="286" spans="1:3" x14ac:dyDescent="0.2">
      <c r="A286" s="90" t="s">
        <v>513</v>
      </c>
      <c r="B286" s="74" t="s">
        <v>633</v>
      </c>
      <c r="C286" s="81">
        <v>348.3</v>
      </c>
    </row>
    <row r="287" spans="1:3" x14ac:dyDescent="0.2">
      <c r="A287" s="90" t="s">
        <v>513</v>
      </c>
      <c r="B287" s="74" t="s">
        <v>633</v>
      </c>
      <c r="C287" s="81">
        <v>348.3</v>
      </c>
    </row>
    <row r="288" spans="1:3" x14ac:dyDescent="0.2">
      <c r="A288" s="90" t="s">
        <v>513</v>
      </c>
      <c r="B288" s="74" t="s">
        <v>633</v>
      </c>
      <c r="C288" s="81">
        <v>348.3</v>
      </c>
    </row>
    <row r="289" spans="1:3" x14ac:dyDescent="0.2">
      <c r="A289" s="90" t="s">
        <v>513</v>
      </c>
      <c r="B289" s="74" t="s">
        <v>623</v>
      </c>
      <c r="C289" s="81">
        <v>278.10000000000002</v>
      </c>
    </row>
    <row r="290" spans="1:3" x14ac:dyDescent="0.2">
      <c r="A290" s="90" t="s">
        <v>513</v>
      </c>
      <c r="B290" s="74" t="s">
        <v>623</v>
      </c>
      <c r="C290" s="81">
        <v>278.10000000000002</v>
      </c>
    </row>
    <row r="291" spans="1:3" x14ac:dyDescent="0.2">
      <c r="A291" s="90" t="s">
        <v>513</v>
      </c>
      <c r="B291" s="74" t="s">
        <v>623</v>
      </c>
      <c r="C291" s="81">
        <v>278.10000000000002</v>
      </c>
    </row>
    <row r="292" spans="1:3" x14ac:dyDescent="0.2">
      <c r="A292" s="90" t="s">
        <v>513</v>
      </c>
      <c r="B292" s="74" t="s">
        <v>645</v>
      </c>
      <c r="C292" s="81">
        <v>242.1</v>
      </c>
    </row>
    <row r="293" spans="1:3" x14ac:dyDescent="0.2">
      <c r="A293" s="90" t="s">
        <v>513</v>
      </c>
      <c r="B293" s="74" t="s">
        <v>645</v>
      </c>
      <c r="C293" s="81">
        <v>242.1</v>
      </c>
    </row>
    <row r="294" spans="1:3" x14ac:dyDescent="0.2">
      <c r="A294" s="90" t="s">
        <v>513</v>
      </c>
      <c r="B294" s="74" t="s">
        <v>646</v>
      </c>
      <c r="C294" s="81">
        <v>121.5</v>
      </c>
    </row>
    <row r="295" spans="1:3" x14ac:dyDescent="0.2">
      <c r="A295" s="90" t="s">
        <v>513</v>
      </c>
      <c r="B295" s="74" t="s">
        <v>646</v>
      </c>
      <c r="C295" s="81">
        <v>121.5</v>
      </c>
    </row>
    <row r="296" spans="1:3" x14ac:dyDescent="0.2">
      <c r="A296" s="90" t="s">
        <v>513</v>
      </c>
      <c r="B296" s="74" t="s">
        <v>646</v>
      </c>
      <c r="C296" s="81">
        <v>121.5</v>
      </c>
    </row>
    <row r="297" spans="1:3" x14ac:dyDescent="0.2">
      <c r="A297" s="90" t="s">
        <v>513</v>
      </c>
      <c r="B297" s="74" t="s">
        <v>647</v>
      </c>
      <c r="C297" s="81">
        <v>135</v>
      </c>
    </row>
    <row r="298" spans="1:3" x14ac:dyDescent="0.2">
      <c r="A298" s="90" t="s">
        <v>513</v>
      </c>
      <c r="B298" s="74" t="s">
        <v>647</v>
      </c>
      <c r="C298" s="81">
        <v>135</v>
      </c>
    </row>
    <row r="299" spans="1:3" x14ac:dyDescent="0.2">
      <c r="A299" s="90" t="s">
        <v>513</v>
      </c>
      <c r="B299" s="74" t="s">
        <v>648</v>
      </c>
      <c r="C299" s="81">
        <v>350.1</v>
      </c>
    </row>
    <row r="300" spans="1:3" x14ac:dyDescent="0.2">
      <c r="A300" s="90" t="s">
        <v>513</v>
      </c>
      <c r="B300" s="74" t="s">
        <v>648</v>
      </c>
      <c r="C300" s="81">
        <v>350.1</v>
      </c>
    </row>
    <row r="301" spans="1:3" x14ac:dyDescent="0.2">
      <c r="A301" s="90" t="s">
        <v>513</v>
      </c>
      <c r="B301" s="74" t="s">
        <v>648</v>
      </c>
      <c r="C301" s="81">
        <v>350.1</v>
      </c>
    </row>
    <row r="302" spans="1:3" x14ac:dyDescent="0.2">
      <c r="A302" s="90" t="s">
        <v>513</v>
      </c>
      <c r="B302" s="74" t="s">
        <v>649</v>
      </c>
      <c r="C302" s="81">
        <v>278.10000000000002</v>
      </c>
    </row>
    <row r="303" spans="1:3" x14ac:dyDescent="0.2">
      <c r="A303" s="90" t="s">
        <v>513</v>
      </c>
      <c r="B303" s="74" t="s">
        <v>650</v>
      </c>
      <c r="C303" s="81">
        <v>251.1</v>
      </c>
    </row>
    <row r="304" spans="1:3" x14ac:dyDescent="0.2">
      <c r="A304" s="90" t="s">
        <v>513</v>
      </c>
      <c r="B304" s="74" t="s">
        <v>650</v>
      </c>
      <c r="C304" s="81">
        <v>251.1</v>
      </c>
    </row>
    <row r="305" spans="1:3" x14ac:dyDescent="0.2">
      <c r="A305" s="90" t="s">
        <v>513</v>
      </c>
      <c r="B305" s="74" t="s">
        <v>651</v>
      </c>
      <c r="C305" s="81">
        <v>287.10000000000002</v>
      </c>
    </row>
    <row r="306" spans="1:3" x14ac:dyDescent="0.2">
      <c r="A306" s="90" t="s">
        <v>513</v>
      </c>
      <c r="B306" s="74" t="s">
        <v>651</v>
      </c>
      <c r="C306" s="81">
        <v>287.10000000000002</v>
      </c>
    </row>
    <row r="307" spans="1:3" x14ac:dyDescent="0.2">
      <c r="A307" s="90" t="s">
        <v>513</v>
      </c>
      <c r="B307" s="74" t="s">
        <v>651</v>
      </c>
      <c r="C307" s="81">
        <v>287.10000000000002</v>
      </c>
    </row>
    <row r="308" spans="1:3" x14ac:dyDescent="0.2">
      <c r="A308" s="90" t="s">
        <v>513</v>
      </c>
      <c r="B308" s="74" t="s">
        <v>651</v>
      </c>
      <c r="C308" s="81">
        <v>268.2</v>
      </c>
    </row>
    <row r="309" spans="1:3" x14ac:dyDescent="0.2">
      <c r="A309" s="90" t="s">
        <v>513</v>
      </c>
      <c r="B309" s="74" t="s">
        <v>651</v>
      </c>
      <c r="C309" s="81">
        <v>268.2</v>
      </c>
    </row>
    <row r="310" spans="1:3" x14ac:dyDescent="0.2">
      <c r="A310" s="90" t="s">
        <v>513</v>
      </c>
      <c r="B310" s="74" t="s">
        <v>649</v>
      </c>
      <c r="C310" s="81">
        <v>278.10000000000002</v>
      </c>
    </row>
    <row r="311" spans="1:3" x14ac:dyDescent="0.2">
      <c r="A311" s="90" t="s">
        <v>513</v>
      </c>
      <c r="B311" s="74" t="s">
        <v>652</v>
      </c>
      <c r="C311" s="81">
        <v>117</v>
      </c>
    </row>
    <row r="312" spans="1:3" x14ac:dyDescent="0.2">
      <c r="A312" s="90" t="s">
        <v>513</v>
      </c>
      <c r="B312" s="74" t="s">
        <v>652</v>
      </c>
      <c r="C312" s="81">
        <v>117</v>
      </c>
    </row>
    <row r="313" spans="1:3" x14ac:dyDescent="0.2">
      <c r="A313" s="90" t="s">
        <v>513</v>
      </c>
      <c r="B313" s="74" t="s">
        <v>652</v>
      </c>
      <c r="C313" s="81">
        <v>117</v>
      </c>
    </row>
    <row r="314" spans="1:3" x14ac:dyDescent="0.2">
      <c r="A314" s="90" t="s">
        <v>513</v>
      </c>
      <c r="B314" s="74" t="s">
        <v>652</v>
      </c>
      <c r="C314" s="81">
        <v>117</v>
      </c>
    </row>
    <row r="315" spans="1:3" x14ac:dyDescent="0.2">
      <c r="A315" s="90" t="s">
        <v>513</v>
      </c>
      <c r="B315" s="74" t="s">
        <v>570</v>
      </c>
      <c r="C315" s="81">
        <v>291.60000000000002</v>
      </c>
    </row>
    <row r="316" spans="1:3" x14ac:dyDescent="0.2">
      <c r="A316" s="90" t="s">
        <v>513</v>
      </c>
      <c r="B316" s="74" t="s">
        <v>570</v>
      </c>
      <c r="C316" s="81">
        <v>291.60000000000002</v>
      </c>
    </row>
    <row r="317" spans="1:3" x14ac:dyDescent="0.2">
      <c r="A317" s="90" t="s">
        <v>513</v>
      </c>
      <c r="B317" s="74" t="s">
        <v>570</v>
      </c>
      <c r="C317" s="81">
        <v>291.60000000000002</v>
      </c>
    </row>
    <row r="318" spans="1:3" x14ac:dyDescent="0.2">
      <c r="A318" s="90" t="s">
        <v>513</v>
      </c>
      <c r="B318" s="74" t="s">
        <v>653</v>
      </c>
      <c r="C318" s="81">
        <v>216</v>
      </c>
    </row>
    <row r="319" spans="1:3" x14ac:dyDescent="0.2">
      <c r="A319" s="90" t="s">
        <v>513</v>
      </c>
      <c r="B319" s="74" t="s">
        <v>653</v>
      </c>
      <c r="C319" s="81">
        <v>216</v>
      </c>
    </row>
    <row r="320" spans="1:3" x14ac:dyDescent="0.2">
      <c r="A320" s="90" t="s">
        <v>513</v>
      </c>
      <c r="B320" s="74" t="s">
        <v>653</v>
      </c>
      <c r="C320" s="81">
        <v>216</v>
      </c>
    </row>
    <row r="321" spans="1:3" x14ac:dyDescent="0.2">
      <c r="A321" s="90" t="s">
        <v>513</v>
      </c>
      <c r="B321" s="74" t="s">
        <v>654</v>
      </c>
      <c r="C321" s="81">
        <v>90</v>
      </c>
    </row>
    <row r="322" spans="1:3" x14ac:dyDescent="0.2">
      <c r="A322" s="90" t="s">
        <v>513</v>
      </c>
      <c r="B322" s="74" t="s">
        <v>654</v>
      </c>
      <c r="C322" s="81">
        <v>90</v>
      </c>
    </row>
    <row r="323" spans="1:3" x14ac:dyDescent="0.2">
      <c r="A323" s="90" t="s">
        <v>513</v>
      </c>
      <c r="B323" s="74" t="s">
        <v>654</v>
      </c>
      <c r="C323" s="81">
        <v>90</v>
      </c>
    </row>
    <row r="324" spans="1:3" x14ac:dyDescent="0.2">
      <c r="A324" s="90" t="s">
        <v>513</v>
      </c>
      <c r="B324" s="74" t="s">
        <v>655</v>
      </c>
      <c r="C324" s="81">
        <v>211.5</v>
      </c>
    </row>
    <row r="325" spans="1:3" x14ac:dyDescent="0.2">
      <c r="A325" s="90" t="s">
        <v>513</v>
      </c>
      <c r="B325" s="74" t="s">
        <v>655</v>
      </c>
      <c r="C325" s="81">
        <v>211.5</v>
      </c>
    </row>
    <row r="326" spans="1:3" x14ac:dyDescent="0.2">
      <c r="A326" s="90" t="s">
        <v>513</v>
      </c>
      <c r="B326" s="74" t="s">
        <v>655</v>
      </c>
      <c r="C326" s="81">
        <v>211.5</v>
      </c>
    </row>
    <row r="327" spans="1:3" x14ac:dyDescent="0.2">
      <c r="A327" s="90" t="s">
        <v>513</v>
      </c>
      <c r="B327" s="74" t="s">
        <v>575</v>
      </c>
      <c r="C327" s="81">
        <v>314.10000000000002</v>
      </c>
    </row>
    <row r="328" spans="1:3" x14ac:dyDescent="0.2">
      <c r="A328" s="90" t="s">
        <v>513</v>
      </c>
      <c r="B328" s="74" t="s">
        <v>575</v>
      </c>
      <c r="C328" s="81">
        <v>314.10000000000002</v>
      </c>
    </row>
    <row r="329" spans="1:3" x14ac:dyDescent="0.2">
      <c r="A329" s="90" t="s">
        <v>513</v>
      </c>
      <c r="B329" s="74" t="s">
        <v>575</v>
      </c>
      <c r="C329" s="81">
        <v>314.10000000000002</v>
      </c>
    </row>
    <row r="330" spans="1:3" x14ac:dyDescent="0.2">
      <c r="A330" s="90" t="s">
        <v>513</v>
      </c>
      <c r="B330" s="74" t="s">
        <v>656</v>
      </c>
      <c r="C330" s="81">
        <v>171</v>
      </c>
    </row>
    <row r="331" spans="1:3" x14ac:dyDescent="0.2">
      <c r="A331" s="90" t="s">
        <v>513</v>
      </c>
      <c r="B331" s="74" t="s">
        <v>656</v>
      </c>
      <c r="C331" s="81">
        <v>171</v>
      </c>
    </row>
    <row r="332" spans="1:3" x14ac:dyDescent="0.2">
      <c r="A332" s="90" t="s">
        <v>513</v>
      </c>
      <c r="B332" s="74" t="s">
        <v>656</v>
      </c>
      <c r="C332" s="81">
        <v>171</v>
      </c>
    </row>
    <row r="333" spans="1:3" x14ac:dyDescent="0.2">
      <c r="A333" s="90" t="s">
        <v>513</v>
      </c>
      <c r="B333" s="74" t="s">
        <v>657</v>
      </c>
      <c r="C333" s="81">
        <v>188.1</v>
      </c>
    </row>
    <row r="334" spans="1:3" x14ac:dyDescent="0.2">
      <c r="A334" s="90" t="s">
        <v>513</v>
      </c>
      <c r="B334" s="74" t="s">
        <v>657</v>
      </c>
      <c r="C334" s="81">
        <v>188.1</v>
      </c>
    </row>
    <row r="335" spans="1:3" x14ac:dyDescent="0.2">
      <c r="A335" s="90" t="s">
        <v>513</v>
      </c>
      <c r="B335" s="74" t="s">
        <v>657</v>
      </c>
      <c r="C335" s="81">
        <v>188.1</v>
      </c>
    </row>
    <row r="336" spans="1:3" x14ac:dyDescent="0.2">
      <c r="A336" s="90" t="s">
        <v>513</v>
      </c>
      <c r="B336" s="74" t="s">
        <v>658</v>
      </c>
      <c r="C336" s="81">
        <v>197.1</v>
      </c>
    </row>
    <row r="337" spans="1:3" x14ac:dyDescent="0.2">
      <c r="A337" s="90" t="s">
        <v>513</v>
      </c>
      <c r="B337" s="74" t="s">
        <v>658</v>
      </c>
      <c r="C337" s="81">
        <v>197.1</v>
      </c>
    </row>
    <row r="338" spans="1:3" x14ac:dyDescent="0.2">
      <c r="A338" s="90" t="s">
        <v>513</v>
      </c>
      <c r="B338" s="74" t="s">
        <v>658</v>
      </c>
      <c r="C338" s="81">
        <v>197.1</v>
      </c>
    </row>
    <row r="339" spans="1:3" x14ac:dyDescent="0.2">
      <c r="A339" s="90" t="s">
        <v>513</v>
      </c>
      <c r="B339" s="74" t="s">
        <v>659</v>
      </c>
      <c r="C339" s="81">
        <v>309.60000000000002</v>
      </c>
    </row>
    <row r="340" spans="1:3" x14ac:dyDescent="0.2">
      <c r="A340" s="90" t="s">
        <v>513</v>
      </c>
      <c r="B340" s="74" t="s">
        <v>659</v>
      </c>
      <c r="C340" s="81">
        <v>309.60000000000002</v>
      </c>
    </row>
    <row r="341" spans="1:3" x14ac:dyDescent="0.2">
      <c r="A341" s="90" t="s">
        <v>513</v>
      </c>
      <c r="B341" s="74" t="s">
        <v>659</v>
      </c>
      <c r="C341" s="81">
        <v>309.60000000000002</v>
      </c>
    </row>
    <row r="342" spans="1:3" x14ac:dyDescent="0.2">
      <c r="A342" s="90" t="s">
        <v>513</v>
      </c>
      <c r="B342" s="74" t="s">
        <v>660</v>
      </c>
      <c r="C342" s="81">
        <v>175.5</v>
      </c>
    </row>
    <row r="343" spans="1:3" x14ac:dyDescent="0.2">
      <c r="A343" s="90" t="s">
        <v>513</v>
      </c>
      <c r="B343" s="74" t="s">
        <v>660</v>
      </c>
      <c r="C343" s="81">
        <v>175.5</v>
      </c>
    </row>
    <row r="344" spans="1:3" x14ac:dyDescent="0.2">
      <c r="A344" s="90" t="s">
        <v>513</v>
      </c>
      <c r="B344" s="74" t="s">
        <v>660</v>
      </c>
      <c r="C344" s="81">
        <v>175.5</v>
      </c>
    </row>
    <row r="345" spans="1:3" x14ac:dyDescent="0.2">
      <c r="A345" s="90" t="s">
        <v>513</v>
      </c>
      <c r="B345" s="74" t="s">
        <v>661</v>
      </c>
      <c r="C345" s="81">
        <v>256.5</v>
      </c>
    </row>
    <row r="346" spans="1:3" x14ac:dyDescent="0.2">
      <c r="A346" s="90" t="s">
        <v>513</v>
      </c>
      <c r="B346" s="74" t="s">
        <v>661</v>
      </c>
      <c r="C346" s="81">
        <v>256.5</v>
      </c>
    </row>
    <row r="347" spans="1:3" x14ac:dyDescent="0.2">
      <c r="A347" s="90" t="s">
        <v>513</v>
      </c>
      <c r="B347" s="74" t="s">
        <v>662</v>
      </c>
      <c r="C347" s="81">
        <v>142.19999999999999</v>
      </c>
    </row>
    <row r="348" spans="1:3" x14ac:dyDescent="0.2">
      <c r="A348" s="90" t="s">
        <v>513</v>
      </c>
      <c r="B348" s="74" t="s">
        <v>662</v>
      </c>
      <c r="C348" s="81">
        <v>142.19999999999999</v>
      </c>
    </row>
    <row r="349" spans="1:3" x14ac:dyDescent="0.2">
      <c r="A349" s="90" t="s">
        <v>513</v>
      </c>
      <c r="B349" s="74" t="s">
        <v>663</v>
      </c>
      <c r="C349" s="81">
        <v>230.4</v>
      </c>
    </row>
    <row r="350" spans="1:3" x14ac:dyDescent="0.2">
      <c r="A350" s="90" t="s">
        <v>513</v>
      </c>
      <c r="B350" s="74" t="s">
        <v>663</v>
      </c>
      <c r="C350" s="81">
        <v>230.4</v>
      </c>
    </row>
    <row r="351" spans="1:3" x14ac:dyDescent="0.2">
      <c r="A351" s="90" t="s">
        <v>513</v>
      </c>
      <c r="B351" s="74" t="s">
        <v>664</v>
      </c>
      <c r="C351" s="81">
        <v>216</v>
      </c>
    </row>
    <row r="352" spans="1:3" x14ac:dyDescent="0.2">
      <c r="A352" s="90" t="s">
        <v>513</v>
      </c>
      <c r="B352" s="74" t="s">
        <v>664</v>
      </c>
      <c r="C352" s="81">
        <v>216</v>
      </c>
    </row>
    <row r="353" spans="1:3" x14ac:dyDescent="0.2">
      <c r="A353" s="90" t="s">
        <v>513</v>
      </c>
      <c r="B353" s="74" t="s">
        <v>664</v>
      </c>
      <c r="C353" s="81">
        <v>216</v>
      </c>
    </row>
    <row r="354" spans="1:3" x14ac:dyDescent="0.2">
      <c r="A354" s="90" t="s">
        <v>513</v>
      </c>
      <c r="B354" s="74" t="s">
        <v>557</v>
      </c>
      <c r="C354" s="81">
        <v>229.5</v>
      </c>
    </row>
    <row r="355" spans="1:3" x14ac:dyDescent="0.2">
      <c r="A355" s="90" t="s">
        <v>513</v>
      </c>
      <c r="B355" s="74" t="s">
        <v>557</v>
      </c>
      <c r="C355" s="81">
        <v>229.5</v>
      </c>
    </row>
    <row r="356" spans="1:3" x14ac:dyDescent="0.2">
      <c r="A356" s="90" t="s">
        <v>513</v>
      </c>
      <c r="B356" s="74" t="s">
        <v>557</v>
      </c>
      <c r="C356" s="81">
        <v>229.5</v>
      </c>
    </row>
    <row r="357" spans="1:3" x14ac:dyDescent="0.2">
      <c r="A357" s="90" t="s">
        <v>513</v>
      </c>
      <c r="B357" s="74" t="s">
        <v>665</v>
      </c>
      <c r="C357" s="81">
        <v>90</v>
      </c>
    </row>
    <row r="358" spans="1:3" x14ac:dyDescent="0.2">
      <c r="A358" s="90" t="s">
        <v>513</v>
      </c>
      <c r="B358" s="74" t="s">
        <v>665</v>
      </c>
      <c r="C358" s="81">
        <v>90</v>
      </c>
    </row>
    <row r="359" spans="1:3" x14ac:dyDescent="0.2">
      <c r="A359" s="90" t="s">
        <v>513</v>
      </c>
      <c r="B359" s="74" t="s">
        <v>665</v>
      </c>
      <c r="C359" s="81">
        <v>90</v>
      </c>
    </row>
    <row r="360" spans="1:3" ht="15.95" customHeight="1" x14ac:dyDescent="0.2">
      <c r="A360" s="90" t="s">
        <v>513</v>
      </c>
      <c r="B360" s="74" t="s">
        <v>563</v>
      </c>
      <c r="C360" s="81">
        <v>99</v>
      </c>
    </row>
    <row r="361" spans="1:3" x14ac:dyDescent="0.2">
      <c r="A361" s="90" t="s">
        <v>513</v>
      </c>
      <c r="B361" s="74" t="s">
        <v>666</v>
      </c>
      <c r="C361" s="81">
        <v>96.3</v>
      </c>
    </row>
    <row r="362" spans="1:3" x14ac:dyDescent="0.2">
      <c r="A362" s="90" t="s">
        <v>513</v>
      </c>
      <c r="B362" s="74" t="s">
        <v>667</v>
      </c>
      <c r="C362" s="81">
        <v>125.1</v>
      </c>
    </row>
    <row r="363" spans="1:3" x14ac:dyDescent="0.2">
      <c r="A363" s="90" t="s">
        <v>513</v>
      </c>
      <c r="B363" s="74" t="s">
        <v>667</v>
      </c>
      <c r="C363" s="81">
        <v>125.1</v>
      </c>
    </row>
    <row r="364" spans="1:3" x14ac:dyDescent="0.2">
      <c r="A364" s="90" t="s">
        <v>513</v>
      </c>
      <c r="B364" s="74" t="s">
        <v>668</v>
      </c>
      <c r="C364" s="81">
        <v>315</v>
      </c>
    </row>
    <row r="365" spans="1:3" x14ac:dyDescent="0.2">
      <c r="A365" s="90" t="s">
        <v>513</v>
      </c>
      <c r="B365" s="74" t="s">
        <v>668</v>
      </c>
      <c r="C365" s="81">
        <v>315</v>
      </c>
    </row>
    <row r="366" spans="1:3" x14ac:dyDescent="0.2">
      <c r="A366" s="90" t="s">
        <v>513</v>
      </c>
      <c r="B366" s="74" t="s">
        <v>669</v>
      </c>
      <c r="C366" s="81">
        <v>395.95</v>
      </c>
    </row>
    <row r="367" spans="1:3" x14ac:dyDescent="0.2">
      <c r="A367" s="90" t="s">
        <v>513</v>
      </c>
      <c r="B367" s="74" t="s">
        <v>669</v>
      </c>
      <c r="C367" s="81">
        <v>395.95</v>
      </c>
    </row>
    <row r="368" spans="1:3" x14ac:dyDescent="0.2">
      <c r="A368" s="90" t="s">
        <v>513</v>
      </c>
      <c r="B368" s="74" t="s">
        <v>669</v>
      </c>
      <c r="C368" s="81">
        <v>395.95</v>
      </c>
    </row>
    <row r="369" spans="1:3" x14ac:dyDescent="0.2">
      <c r="A369" s="90" t="s">
        <v>513</v>
      </c>
      <c r="B369" s="74" t="s">
        <v>669</v>
      </c>
      <c r="C369" s="81">
        <v>395.95</v>
      </c>
    </row>
    <row r="370" spans="1:3" x14ac:dyDescent="0.2">
      <c r="A370" s="90" t="s">
        <v>513</v>
      </c>
      <c r="B370" s="74" t="s">
        <v>669</v>
      </c>
      <c r="C370" s="81">
        <v>395.95</v>
      </c>
    </row>
    <row r="371" spans="1:3" x14ac:dyDescent="0.2">
      <c r="A371" s="90" t="s">
        <v>513</v>
      </c>
      <c r="B371" s="74" t="s">
        <v>669</v>
      </c>
      <c r="C371" s="81">
        <v>395.95</v>
      </c>
    </row>
    <row r="372" spans="1:3" x14ac:dyDescent="0.2">
      <c r="A372" s="90" t="s">
        <v>513</v>
      </c>
      <c r="B372" s="74" t="s">
        <v>669</v>
      </c>
      <c r="C372" s="81">
        <v>395.95</v>
      </c>
    </row>
    <row r="373" spans="1:3" x14ac:dyDescent="0.2">
      <c r="A373" s="90" t="s">
        <v>513</v>
      </c>
      <c r="B373" s="74" t="s">
        <v>669</v>
      </c>
      <c r="C373" s="81">
        <v>395.95</v>
      </c>
    </row>
    <row r="374" spans="1:3" x14ac:dyDescent="0.2">
      <c r="A374" s="90" t="s">
        <v>513</v>
      </c>
      <c r="B374" s="74" t="s">
        <v>670</v>
      </c>
      <c r="C374" s="81">
        <v>121.5</v>
      </c>
    </row>
    <row r="375" spans="1:3" x14ac:dyDescent="0.2">
      <c r="A375" s="90" t="s">
        <v>513</v>
      </c>
      <c r="B375" s="74" t="s">
        <v>670</v>
      </c>
      <c r="C375" s="81">
        <v>121.5</v>
      </c>
    </row>
    <row r="376" spans="1:3" x14ac:dyDescent="0.2">
      <c r="A376" s="90" t="s">
        <v>513</v>
      </c>
      <c r="B376" s="74" t="s">
        <v>670</v>
      </c>
      <c r="C376" s="81">
        <v>121.5</v>
      </c>
    </row>
    <row r="377" spans="1:3" x14ac:dyDescent="0.2">
      <c r="A377" s="90" t="s">
        <v>513</v>
      </c>
      <c r="B377" s="74" t="s">
        <v>670</v>
      </c>
      <c r="C377" s="81">
        <v>121.5</v>
      </c>
    </row>
    <row r="378" spans="1:3" x14ac:dyDescent="0.2">
      <c r="A378" s="90" t="s">
        <v>513</v>
      </c>
      <c r="B378" s="74" t="s">
        <v>670</v>
      </c>
      <c r="C378" s="81">
        <v>121.5</v>
      </c>
    </row>
    <row r="379" spans="1:3" x14ac:dyDescent="0.2">
      <c r="A379" s="90" t="s">
        <v>513</v>
      </c>
      <c r="B379" s="74" t="s">
        <v>670</v>
      </c>
      <c r="C379" s="81">
        <v>121.5</v>
      </c>
    </row>
    <row r="380" spans="1:3" x14ac:dyDescent="0.2">
      <c r="A380" s="90" t="s">
        <v>513</v>
      </c>
      <c r="B380" s="74" t="s">
        <v>671</v>
      </c>
      <c r="C380" s="81">
        <v>135</v>
      </c>
    </row>
    <row r="381" spans="1:3" x14ac:dyDescent="0.2">
      <c r="A381" s="90" t="s">
        <v>513</v>
      </c>
      <c r="B381" s="74" t="s">
        <v>671</v>
      </c>
      <c r="C381" s="81">
        <v>135</v>
      </c>
    </row>
    <row r="382" spans="1:3" x14ac:dyDescent="0.2">
      <c r="A382" s="90" t="s">
        <v>513</v>
      </c>
      <c r="B382" s="74" t="s">
        <v>671</v>
      </c>
      <c r="C382" s="81">
        <v>135</v>
      </c>
    </row>
    <row r="383" spans="1:3" x14ac:dyDescent="0.2">
      <c r="A383" s="90" t="s">
        <v>513</v>
      </c>
      <c r="B383" s="74" t="s">
        <v>671</v>
      </c>
      <c r="C383" s="81">
        <v>135</v>
      </c>
    </row>
    <row r="384" spans="1:3" x14ac:dyDescent="0.2">
      <c r="A384" s="90" t="s">
        <v>513</v>
      </c>
      <c r="B384" s="74" t="s">
        <v>671</v>
      </c>
      <c r="C384" s="81">
        <v>135</v>
      </c>
    </row>
    <row r="385" spans="1:3" x14ac:dyDescent="0.2">
      <c r="A385" s="90" t="s">
        <v>513</v>
      </c>
      <c r="B385" s="74" t="s">
        <v>671</v>
      </c>
      <c r="C385" s="81">
        <v>135</v>
      </c>
    </row>
    <row r="386" spans="1:3" x14ac:dyDescent="0.2">
      <c r="A386" s="90" t="s">
        <v>513</v>
      </c>
      <c r="B386" s="74" t="s">
        <v>671</v>
      </c>
      <c r="C386" s="81">
        <v>135</v>
      </c>
    </row>
    <row r="387" spans="1:3" x14ac:dyDescent="0.2">
      <c r="A387" s="90" t="s">
        <v>513</v>
      </c>
      <c r="B387" s="74" t="s">
        <v>672</v>
      </c>
      <c r="C387" s="81">
        <v>367.2</v>
      </c>
    </row>
    <row r="388" spans="1:3" x14ac:dyDescent="0.2">
      <c r="A388" s="90" t="s">
        <v>513</v>
      </c>
      <c r="B388" s="74" t="s">
        <v>672</v>
      </c>
      <c r="C388" s="81">
        <v>367.2</v>
      </c>
    </row>
    <row r="389" spans="1:3" x14ac:dyDescent="0.2">
      <c r="A389" s="90" t="s">
        <v>513</v>
      </c>
      <c r="B389" s="74" t="s">
        <v>672</v>
      </c>
      <c r="C389" s="81">
        <v>367.2</v>
      </c>
    </row>
    <row r="390" spans="1:3" x14ac:dyDescent="0.2">
      <c r="A390" s="90" t="s">
        <v>513</v>
      </c>
      <c r="B390" s="74" t="s">
        <v>672</v>
      </c>
      <c r="C390" s="81">
        <v>367.2</v>
      </c>
    </row>
    <row r="391" spans="1:3" x14ac:dyDescent="0.2">
      <c r="A391" s="90" t="s">
        <v>513</v>
      </c>
      <c r="B391" s="74" t="s">
        <v>658</v>
      </c>
      <c r="C391" s="81">
        <v>197.1</v>
      </c>
    </row>
    <row r="392" spans="1:3" x14ac:dyDescent="0.2">
      <c r="A392" s="90" t="s">
        <v>513</v>
      </c>
      <c r="B392" s="74" t="s">
        <v>658</v>
      </c>
      <c r="C392" s="81">
        <v>197.1</v>
      </c>
    </row>
    <row r="393" spans="1:3" x14ac:dyDescent="0.2">
      <c r="A393" s="90" t="s">
        <v>513</v>
      </c>
      <c r="B393" s="74" t="s">
        <v>658</v>
      </c>
      <c r="C393" s="81">
        <v>197.1</v>
      </c>
    </row>
    <row r="394" spans="1:3" x14ac:dyDescent="0.2">
      <c r="A394" s="90" t="s">
        <v>513</v>
      </c>
      <c r="B394" s="74" t="s">
        <v>658</v>
      </c>
      <c r="C394" s="81">
        <v>197.1</v>
      </c>
    </row>
    <row r="395" spans="1:3" x14ac:dyDescent="0.2">
      <c r="A395" s="90" t="s">
        <v>513</v>
      </c>
      <c r="B395" s="74" t="s">
        <v>658</v>
      </c>
      <c r="C395" s="81">
        <v>197.1</v>
      </c>
    </row>
    <row r="396" spans="1:3" x14ac:dyDescent="0.2">
      <c r="A396" s="90" t="s">
        <v>513</v>
      </c>
      <c r="B396" s="74" t="s">
        <v>658</v>
      </c>
      <c r="C396" s="81">
        <v>197.1</v>
      </c>
    </row>
    <row r="397" spans="1:3" x14ac:dyDescent="0.2">
      <c r="A397" s="90" t="s">
        <v>513</v>
      </c>
      <c r="B397" s="74" t="s">
        <v>673</v>
      </c>
      <c r="C397" s="81">
        <v>309.60000000000002</v>
      </c>
    </row>
    <row r="398" spans="1:3" x14ac:dyDescent="0.2">
      <c r="A398" s="90" t="s">
        <v>513</v>
      </c>
      <c r="B398" s="74" t="s">
        <v>673</v>
      </c>
      <c r="C398" s="81">
        <v>309.60000000000002</v>
      </c>
    </row>
    <row r="399" spans="1:3" x14ac:dyDescent="0.2">
      <c r="A399" s="90" t="s">
        <v>513</v>
      </c>
      <c r="B399" s="74" t="s">
        <v>673</v>
      </c>
      <c r="C399" s="81">
        <v>309.60000000000002</v>
      </c>
    </row>
    <row r="400" spans="1:3" x14ac:dyDescent="0.2">
      <c r="A400" s="90" t="s">
        <v>513</v>
      </c>
      <c r="B400" s="74" t="s">
        <v>673</v>
      </c>
      <c r="C400" s="81">
        <v>309.60000000000002</v>
      </c>
    </row>
    <row r="401" spans="1:3" x14ac:dyDescent="0.2">
      <c r="A401" s="90" t="s">
        <v>513</v>
      </c>
      <c r="B401" s="74" t="s">
        <v>673</v>
      </c>
      <c r="C401" s="81">
        <v>309.60000000000002</v>
      </c>
    </row>
    <row r="402" spans="1:3" x14ac:dyDescent="0.2">
      <c r="A402" s="90" t="s">
        <v>513</v>
      </c>
      <c r="B402" s="74" t="s">
        <v>673</v>
      </c>
      <c r="C402" s="81">
        <v>309.60000000000002</v>
      </c>
    </row>
    <row r="403" spans="1:3" x14ac:dyDescent="0.2">
      <c r="A403" s="90" t="s">
        <v>513</v>
      </c>
      <c r="B403" s="74" t="s">
        <v>673</v>
      </c>
      <c r="C403" s="81">
        <v>309.60000000000002</v>
      </c>
    </row>
    <row r="404" spans="1:3" x14ac:dyDescent="0.2">
      <c r="A404" s="90" t="s">
        <v>513</v>
      </c>
      <c r="B404" s="74" t="s">
        <v>673</v>
      </c>
      <c r="C404" s="81">
        <v>309.60000000000002</v>
      </c>
    </row>
    <row r="405" spans="1:3" x14ac:dyDescent="0.2">
      <c r="A405" s="90" t="s">
        <v>513</v>
      </c>
      <c r="B405" s="74" t="s">
        <v>674</v>
      </c>
      <c r="C405" s="81">
        <v>315.89999999999998</v>
      </c>
    </row>
    <row r="406" spans="1:3" x14ac:dyDescent="0.2">
      <c r="A406" s="90" t="s">
        <v>513</v>
      </c>
      <c r="B406" s="74" t="s">
        <v>674</v>
      </c>
      <c r="C406" s="81">
        <v>315.89999999999998</v>
      </c>
    </row>
    <row r="407" spans="1:3" x14ac:dyDescent="0.2">
      <c r="A407" s="90" t="s">
        <v>513</v>
      </c>
      <c r="B407" s="74" t="s">
        <v>674</v>
      </c>
      <c r="C407" s="81">
        <v>315.89999999999998</v>
      </c>
    </row>
    <row r="408" spans="1:3" x14ac:dyDescent="0.2">
      <c r="A408" s="90" t="s">
        <v>513</v>
      </c>
      <c r="B408" s="74" t="s">
        <v>674</v>
      </c>
      <c r="C408" s="81">
        <v>315.89999999999998</v>
      </c>
    </row>
    <row r="409" spans="1:3" x14ac:dyDescent="0.2">
      <c r="A409" s="90" t="s">
        <v>513</v>
      </c>
      <c r="B409" s="74" t="s">
        <v>674</v>
      </c>
      <c r="C409" s="81">
        <v>315.89999999999998</v>
      </c>
    </row>
    <row r="410" spans="1:3" x14ac:dyDescent="0.2">
      <c r="A410" s="90" t="s">
        <v>513</v>
      </c>
      <c r="B410" s="74" t="s">
        <v>674</v>
      </c>
      <c r="C410" s="81">
        <v>315.89999999999998</v>
      </c>
    </row>
    <row r="411" spans="1:3" x14ac:dyDescent="0.2">
      <c r="A411" s="90" t="s">
        <v>513</v>
      </c>
      <c r="B411" s="74" t="s">
        <v>674</v>
      </c>
      <c r="C411" s="81">
        <v>315.89999999999998</v>
      </c>
    </row>
    <row r="412" spans="1:3" x14ac:dyDescent="0.2">
      <c r="A412" s="90" t="s">
        <v>513</v>
      </c>
      <c r="B412" s="74" t="s">
        <v>674</v>
      </c>
      <c r="C412" s="81">
        <v>315.89999999999998</v>
      </c>
    </row>
    <row r="413" spans="1:3" x14ac:dyDescent="0.2">
      <c r="A413" s="90" t="s">
        <v>513</v>
      </c>
      <c r="B413" s="74" t="s">
        <v>675</v>
      </c>
      <c r="C413" s="81">
        <v>278.10000000000002</v>
      </c>
    </row>
    <row r="414" spans="1:3" x14ac:dyDescent="0.2">
      <c r="A414" s="90" t="s">
        <v>513</v>
      </c>
      <c r="B414" s="74" t="s">
        <v>675</v>
      </c>
      <c r="C414" s="81">
        <v>278.10000000000002</v>
      </c>
    </row>
    <row r="415" spans="1:3" x14ac:dyDescent="0.2">
      <c r="A415" s="90" t="s">
        <v>513</v>
      </c>
      <c r="B415" s="74" t="s">
        <v>675</v>
      </c>
      <c r="C415" s="81">
        <v>278.10000000000002</v>
      </c>
    </row>
    <row r="416" spans="1:3" x14ac:dyDescent="0.2">
      <c r="A416" s="90" t="s">
        <v>513</v>
      </c>
      <c r="B416" s="74" t="s">
        <v>675</v>
      </c>
      <c r="C416" s="81">
        <v>278.10000000000002</v>
      </c>
    </row>
    <row r="417" spans="1:3" x14ac:dyDescent="0.2">
      <c r="A417" s="90" t="s">
        <v>513</v>
      </c>
      <c r="B417" s="74" t="s">
        <v>675</v>
      </c>
      <c r="C417" s="81">
        <v>278.10000000000002</v>
      </c>
    </row>
    <row r="418" spans="1:3" x14ac:dyDescent="0.2">
      <c r="A418" s="90" t="s">
        <v>513</v>
      </c>
      <c r="B418" s="74" t="s">
        <v>675</v>
      </c>
      <c r="C418" s="81">
        <v>278.10000000000002</v>
      </c>
    </row>
    <row r="419" spans="1:3" x14ac:dyDescent="0.2">
      <c r="A419" s="90" t="s">
        <v>513</v>
      </c>
      <c r="B419" s="74" t="s">
        <v>675</v>
      </c>
      <c r="C419" s="81">
        <v>278.10000000000002</v>
      </c>
    </row>
    <row r="420" spans="1:3" x14ac:dyDescent="0.2">
      <c r="A420" s="90" t="s">
        <v>513</v>
      </c>
      <c r="B420" s="74" t="s">
        <v>675</v>
      </c>
      <c r="C420" s="81">
        <v>278.10000000000002</v>
      </c>
    </row>
    <row r="421" spans="1:3" x14ac:dyDescent="0.2">
      <c r="A421" s="90" t="s">
        <v>513</v>
      </c>
      <c r="B421" s="74" t="s">
        <v>676</v>
      </c>
      <c r="C421" s="81">
        <v>215.1</v>
      </c>
    </row>
    <row r="422" spans="1:3" x14ac:dyDescent="0.2">
      <c r="A422" s="90" t="s">
        <v>513</v>
      </c>
      <c r="B422" s="74" t="s">
        <v>676</v>
      </c>
      <c r="C422" s="81">
        <v>215.1</v>
      </c>
    </row>
    <row r="423" spans="1:3" x14ac:dyDescent="0.2">
      <c r="A423" s="90" t="s">
        <v>513</v>
      </c>
      <c r="B423" s="74" t="s">
        <v>676</v>
      </c>
      <c r="C423" s="81">
        <v>215.1</v>
      </c>
    </row>
    <row r="424" spans="1:3" x14ac:dyDescent="0.2">
      <c r="A424" s="90" t="s">
        <v>513</v>
      </c>
      <c r="B424" s="74" t="s">
        <v>676</v>
      </c>
      <c r="C424" s="81">
        <v>215.1</v>
      </c>
    </row>
    <row r="425" spans="1:3" x14ac:dyDescent="0.2">
      <c r="A425" s="90" t="s">
        <v>513</v>
      </c>
      <c r="B425" s="74" t="s">
        <v>676</v>
      </c>
      <c r="C425" s="81">
        <v>215.1</v>
      </c>
    </row>
    <row r="426" spans="1:3" x14ac:dyDescent="0.2">
      <c r="A426" s="90" t="s">
        <v>513</v>
      </c>
      <c r="B426" s="74" t="s">
        <v>677</v>
      </c>
      <c r="C426" s="81">
        <v>197.1</v>
      </c>
    </row>
    <row r="427" spans="1:3" x14ac:dyDescent="0.2">
      <c r="A427" s="90" t="s">
        <v>513</v>
      </c>
      <c r="B427" s="74" t="s">
        <v>677</v>
      </c>
      <c r="C427" s="81">
        <v>197.1</v>
      </c>
    </row>
    <row r="428" spans="1:3" x14ac:dyDescent="0.2">
      <c r="A428" s="90" t="s">
        <v>513</v>
      </c>
      <c r="B428" s="74" t="s">
        <v>677</v>
      </c>
      <c r="C428" s="81">
        <v>197.1</v>
      </c>
    </row>
    <row r="429" spans="1:3" x14ac:dyDescent="0.2">
      <c r="A429" s="90" t="s">
        <v>513</v>
      </c>
      <c r="B429" s="74" t="s">
        <v>677</v>
      </c>
      <c r="C429" s="81">
        <v>197.1</v>
      </c>
    </row>
    <row r="430" spans="1:3" x14ac:dyDescent="0.2">
      <c r="A430" s="90" t="s">
        <v>513</v>
      </c>
      <c r="B430" s="74" t="s">
        <v>677</v>
      </c>
      <c r="C430" s="81">
        <v>197.1</v>
      </c>
    </row>
    <row r="431" spans="1:3" x14ac:dyDescent="0.2">
      <c r="A431" s="90" t="s">
        <v>513</v>
      </c>
      <c r="B431" s="74" t="s">
        <v>677</v>
      </c>
      <c r="C431" s="81">
        <v>197.1</v>
      </c>
    </row>
    <row r="432" spans="1:3" x14ac:dyDescent="0.2">
      <c r="A432" s="90" t="s">
        <v>513</v>
      </c>
      <c r="B432" s="74" t="s">
        <v>677</v>
      </c>
      <c r="C432" s="81">
        <v>197.1</v>
      </c>
    </row>
    <row r="433" spans="1:3" x14ac:dyDescent="0.2">
      <c r="A433" s="90" t="s">
        <v>513</v>
      </c>
      <c r="B433" s="74" t="s">
        <v>677</v>
      </c>
      <c r="C433" s="81">
        <v>197.1</v>
      </c>
    </row>
    <row r="434" spans="1:3" x14ac:dyDescent="0.2">
      <c r="A434" s="90" t="s">
        <v>513</v>
      </c>
      <c r="B434" s="74" t="s">
        <v>678</v>
      </c>
      <c r="C434" s="81">
        <v>309.60000000000002</v>
      </c>
    </row>
    <row r="435" spans="1:3" x14ac:dyDescent="0.2">
      <c r="A435" s="90" t="s">
        <v>513</v>
      </c>
      <c r="B435" s="74" t="s">
        <v>678</v>
      </c>
      <c r="C435" s="81">
        <v>309.60000000000002</v>
      </c>
    </row>
    <row r="436" spans="1:3" x14ac:dyDescent="0.2">
      <c r="A436" s="90" t="s">
        <v>513</v>
      </c>
      <c r="B436" s="74" t="s">
        <v>678</v>
      </c>
      <c r="C436" s="81">
        <v>309.60000000000002</v>
      </c>
    </row>
    <row r="437" spans="1:3" x14ac:dyDescent="0.2">
      <c r="A437" s="90" t="s">
        <v>513</v>
      </c>
      <c r="B437" s="74" t="s">
        <v>678</v>
      </c>
      <c r="C437" s="81">
        <v>309.60000000000002</v>
      </c>
    </row>
    <row r="438" spans="1:3" x14ac:dyDescent="0.2">
      <c r="A438" s="90" t="s">
        <v>513</v>
      </c>
      <c r="B438" s="74" t="s">
        <v>678</v>
      </c>
      <c r="C438" s="81">
        <v>309.60000000000002</v>
      </c>
    </row>
    <row r="439" spans="1:3" x14ac:dyDescent="0.2">
      <c r="A439" s="90" t="s">
        <v>513</v>
      </c>
      <c r="B439" s="74" t="s">
        <v>678</v>
      </c>
      <c r="C439" s="81">
        <v>309.60000000000002</v>
      </c>
    </row>
    <row r="440" spans="1:3" x14ac:dyDescent="0.2">
      <c r="A440" s="90" t="s">
        <v>513</v>
      </c>
      <c r="B440" s="74" t="s">
        <v>678</v>
      </c>
      <c r="C440" s="81">
        <v>309.60000000000002</v>
      </c>
    </row>
    <row r="441" spans="1:3" x14ac:dyDescent="0.2">
      <c r="A441" s="90" t="s">
        <v>513</v>
      </c>
      <c r="B441" s="74" t="s">
        <v>678</v>
      </c>
      <c r="C441" s="81">
        <v>309.60000000000002</v>
      </c>
    </row>
    <row r="442" spans="1:3" x14ac:dyDescent="0.2">
      <c r="A442" s="90" t="s">
        <v>513</v>
      </c>
      <c r="B442" s="74" t="s">
        <v>678</v>
      </c>
      <c r="C442" s="81">
        <v>309.60000000000002</v>
      </c>
    </row>
    <row r="443" spans="1:3" x14ac:dyDescent="0.2">
      <c r="A443" s="90" t="s">
        <v>513</v>
      </c>
      <c r="B443" s="74" t="s">
        <v>679</v>
      </c>
      <c r="C443" s="81">
        <v>395.1</v>
      </c>
    </row>
    <row r="444" spans="1:3" x14ac:dyDescent="0.2">
      <c r="A444" s="90" t="s">
        <v>513</v>
      </c>
      <c r="B444" s="74" t="s">
        <v>679</v>
      </c>
      <c r="C444" s="81">
        <v>395.1</v>
      </c>
    </row>
    <row r="445" spans="1:3" x14ac:dyDescent="0.2">
      <c r="A445" s="90" t="s">
        <v>513</v>
      </c>
      <c r="B445" s="74" t="s">
        <v>679</v>
      </c>
      <c r="C445" s="81">
        <v>395.1</v>
      </c>
    </row>
    <row r="446" spans="1:3" x14ac:dyDescent="0.2">
      <c r="A446" s="90" t="s">
        <v>513</v>
      </c>
      <c r="B446" s="74" t="s">
        <v>679</v>
      </c>
      <c r="C446" s="81">
        <v>395.1</v>
      </c>
    </row>
    <row r="447" spans="1:3" x14ac:dyDescent="0.2">
      <c r="A447" s="90" t="s">
        <v>513</v>
      </c>
      <c r="B447" s="74" t="s">
        <v>679</v>
      </c>
      <c r="C447" s="81">
        <v>395.1</v>
      </c>
    </row>
    <row r="448" spans="1:3" x14ac:dyDescent="0.2">
      <c r="A448" s="90" t="s">
        <v>513</v>
      </c>
      <c r="B448" s="74" t="s">
        <v>679</v>
      </c>
      <c r="C448" s="81">
        <v>395.1</v>
      </c>
    </row>
    <row r="449" spans="1:3" x14ac:dyDescent="0.2">
      <c r="A449" s="90" t="s">
        <v>513</v>
      </c>
      <c r="B449" s="74" t="s">
        <v>679</v>
      </c>
      <c r="C449" s="81">
        <v>395.1</v>
      </c>
    </row>
    <row r="450" spans="1:3" x14ac:dyDescent="0.2">
      <c r="A450" s="90" t="s">
        <v>513</v>
      </c>
      <c r="B450" s="74" t="s">
        <v>679</v>
      </c>
      <c r="C450" s="81">
        <v>395.1</v>
      </c>
    </row>
    <row r="451" spans="1:3" x14ac:dyDescent="0.2">
      <c r="A451" s="90" t="s">
        <v>513</v>
      </c>
      <c r="B451" s="74" t="s">
        <v>680</v>
      </c>
      <c r="C451" s="81">
        <v>675</v>
      </c>
    </row>
    <row r="452" spans="1:3" x14ac:dyDescent="0.2">
      <c r="A452" s="90" t="s">
        <v>513</v>
      </c>
      <c r="B452" s="74" t="s">
        <v>680</v>
      </c>
      <c r="C452" s="81">
        <v>675</v>
      </c>
    </row>
    <row r="453" spans="1:3" x14ac:dyDescent="0.2">
      <c r="A453" s="90" t="s">
        <v>513</v>
      </c>
      <c r="B453" s="74" t="s">
        <v>680</v>
      </c>
      <c r="C453" s="81">
        <v>675</v>
      </c>
    </row>
    <row r="454" spans="1:3" x14ac:dyDescent="0.2">
      <c r="A454" s="90" t="s">
        <v>513</v>
      </c>
      <c r="B454" s="74" t="s">
        <v>680</v>
      </c>
      <c r="C454" s="81">
        <v>675</v>
      </c>
    </row>
    <row r="455" spans="1:3" x14ac:dyDescent="0.2">
      <c r="A455" s="90" t="s">
        <v>513</v>
      </c>
      <c r="B455" s="74" t="s">
        <v>680</v>
      </c>
      <c r="C455" s="81">
        <v>675</v>
      </c>
    </row>
    <row r="456" spans="1:3" x14ac:dyDescent="0.2">
      <c r="A456" s="90" t="s">
        <v>513</v>
      </c>
      <c r="B456" s="74" t="s">
        <v>680</v>
      </c>
      <c r="C456" s="81">
        <v>675</v>
      </c>
    </row>
    <row r="457" spans="1:3" x14ac:dyDescent="0.2">
      <c r="A457" s="90" t="s">
        <v>513</v>
      </c>
      <c r="B457" s="74" t="s">
        <v>680</v>
      </c>
      <c r="C457" s="81">
        <v>675</v>
      </c>
    </row>
    <row r="458" spans="1:3" x14ac:dyDescent="0.2">
      <c r="A458" s="90" t="s">
        <v>513</v>
      </c>
      <c r="B458" s="74" t="s">
        <v>680</v>
      </c>
      <c r="C458" s="81">
        <v>675</v>
      </c>
    </row>
    <row r="459" spans="1:3" x14ac:dyDescent="0.2">
      <c r="A459" s="90" t="s">
        <v>513</v>
      </c>
      <c r="B459" s="74" t="s">
        <v>681</v>
      </c>
      <c r="C459" s="81">
        <v>291.60000000000002</v>
      </c>
    </row>
    <row r="460" spans="1:3" x14ac:dyDescent="0.2">
      <c r="A460" s="90" t="s">
        <v>513</v>
      </c>
      <c r="B460" s="74" t="s">
        <v>681</v>
      </c>
      <c r="C460" s="81">
        <v>291.60000000000002</v>
      </c>
    </row>
    <row r="461" spans="1:3" x14ac:dyDescent="0.2">
      <c r="A461" s="90" t="s">
        <v>513</v>
      </c>
      <c r="B461" s="74" t="s">
        <v>681</v>
      </c>
      <c r="C461" s="81">
        <v>291.60000000000002</v>
      </c>
    </row>
    <row r="462" spans="1:3" x14ac:dyDescent="0.2">
      <c r="A462" s="90" t="s">
        <v>513</v>
      </c>
      <c r="B462" s="74" t="s">
        <v>681</v>
      </c>
      <c r="C462" s="81">
        <v>291.60000000000002</v>
      </c>
    </row>
    <row r="463" spans="1:3" x14ac:dyDescent="0.2">
      <c r="A463" s="90" t="s">
        <v>513</v>
      </c>
      <c r="B463" s="74" t="s">
        <v>681</v>
      </c>
      <c r="C463" s="81">
        <v>291.60000000000002</v>
      </c>
    </row>
    <row r="464" spans="1:3" x14ac:dyDescent="0.2">
      <c r="A464" s="90" t="s">
        <v>513</v>
      </c>
      <c r="B464" s="74" t="s">
        <v>681</v>
      </c>
      <c r="C464" s="81">
        <v>291.60000000000002</v>
      </c>
    </row>
    <row r="465" spans="1:3" x14ac:dyDescent="0.2">
      <c r="A465" s="90" t="s">
        <v>513</v>
      </c>
      <c r="B465" s="74" t="s">
        <v>681</v>
      </c>
      <c r="C465" s="81">
        <v>291.60000000000002</v>
      </c>
    </row>
    <row r="466" spans="1:3" x14ac:dyDescent="0.2">
      <c r="A466" s="90" t="s">
        <v>513</v>
      </c>
      <c r="B466" s="74" t="s">
        <v>681</v>
      </c>
      <c r="C466" s="81">
        <v>291.60000000000002</v>
      </c>
    </row>
    <row r="467" spans="1:3" x14ac:dyDescent="0.2">
      <c r="A467" s="90" t="s">
        <v>513</v>
      </c>
      <c r="B467" s="74" t="s">
        <v>682</v>
      </c>
      <c r="C467" s="81">
        <v>1575</v>
      </c>
    </row>
    <row r="468" spans="1:3" x14ac:dyDescent="0.2">
      <c r="A468" s="90" t="s">
        <v>513</v>
      </c>
      <c r="B468" s="74" t="s">
        <v>682</v>
      </c>
      <c r="C468" s="81">
        <v>1575</v>
      </c>
    </row>
    <row r="469" spans="1:3" x14ac:dyDescent="0.2">
      <c r="A469" s="90" t="s">
        <v>513</v>
      </c>
      <c r="B469" s="74" t="s">
        <v>672</v>
      </c>
      <c r="C469" s="81">
        <v>171</v>
      </c>
    </row>
    <row r="470" spans="1:3" x14ac:dyDescent="0.2">
      <c r="A470" s="90" t="s">
        <v>513</v>
      </c>
      <c r="B470" s="74" t="s">
        <v>672</v>
      </c>
      <c r="C470" s="81">
        <v>171</v>
      </c>
    </row>
    <row r="471" spans="1:3" x14ac:dyDescent="0.2">
      <c r="A471" s="90" t="s">
        <v>513</v>
      </c>
      <c r="B471" s="74" t="s">
        <v>672</v>
      </c>
      <c r="C471" s="81">
        <v>171</v>
      </c>
    </row>
    <row r="472" spans="1:3" x14ac:dyDescent="0.2">
      <c r="A472" s="90" t="s">
        <v>513</v>
      </c>
      <c r="B472" s="74" t="s">
        <v>672</v>
      </c>
      <c r="C472" s="81">
        <v>171</v>
      </c>
    </row>
    <row r="473" spans="1:3" x14ac:dyDescent="0.2">
      <c r="A473" s="90" t="s">
        <v>513</v>
      </c>
      <c r="B473" s="74" t="s">
        <v>672</v>
      </c>
      <c r="C473" s="81">
        <v>171</v>
      </c>
    </row>
    <row r="474" spans="1:3" x14ac:dyDescent="0.2">
      <c r="A474" s="90" t="s">
        <v>513</v>
      </c>
      <c r="B474" s="74" t="s">
        <v>683</v>
      </c>
      <c r="C474" s="81">
        <v>260.10000000000002</v>
      </c>
    </row>
    <row r="475" spans="1:3" x14ac:dyDescent="0.2">
      <c r="A475" s="90" t="s">
        <v>513</v>
      </c>
      <c r="B475" s="74" t="s">
        <v>683</v>
      </c>
      <c r="C475" s="81">
        <v>260.10000000000002</v>
      </c>
    </row>
    <row r="476" spans="1:3" x14ac:dyDescent="0.2">
      <c r="A476" s="90" t="s">
        <v>513</v>
      </c>
      <c r="B476" s="74" t="s">
        <v>683</v>
      </c>
      <c r="C476" s="81">
        <v>260.10000000000002</v>
      </c>
    </row>
    <row r="477" spans="1:3" x14ac:dyDescent="0.2">
      <c r="A477" s="90" t="s">
        <v>513</v>
      </c>
      <c r="B477" s="74" t="s">
        <v>683</v>
      </c>
      <c r="C477" s="81">
        <v>260.10000000000002</v>
      </c>
    </row>
    <row r="478" spans="1:3" x14ac:dyDescent="0.2">
      <c r="A478" s="90" t="s">
        <v>513</v>
      </c>
      <c r="B478" s="74" t="s">
        <v>684</v>
      </c>
      <c r="C478" s="81">
        <v>188.1</v>
      </c>
    </row>
    <row r="479" spans="1:3" x14ac:dyDescent="0.2">
      <c r="A479" s="90" t="s">
        <v>513</v>
      </c>
      <c r="B479" s="74" t="s">
        <v>684</v>
      </c>
      <c r="C479" s="81">
        <v>188.1</v>
      </c>
    </row>
    <row r="480" spans="1:3" x14ac:dyDescent="0.2">
      <c r="A480" s="90" t="s">
        <v>513</v>
      </c>
      <c r="B480" s="74" t="s">
        <v>684</v>
      </c>
      <c r="C480" s="81">
        <v>188.1</v>
      </c>
    </row>
    <row r="481" spans="1:3" x14ac:dyDescent="0.2">
      <c r="A481" s="90" t="s">
        <v>513</v>
      </c>
      <c r="B481" s="74" t="s">
        <v>651</v>
      </c>
      <c r="C481" s="81">
        <v>288</v>
      </c>
    </row>
    <row r="482" spans="1:3" x14ac:dyDescent="0.2">
      <c r="A482" s="90" t="s">
        <v>513</v>
      </c>
      <c r="B482" s="74" t="s">
        <v>651</v>
      </c>
      <c r="C482" s="81">
        <v>288</v>
      </c>
    </row>
    <row r="483" spans="1:3" x14ac:dyDescent="0.2">
      <c r="A483" s="90" t="s">
        <v>513</v>
      </c>
      <c r="B483" s="74" t="s">
        <v>651</v>
      </c>
      <c r="C483" s="81">
        <v>288</v>
      </c>
    </row>
    <row r="484" spans="1:3" x14ac:dyDescent="0.2">
      <c r="A484" s="90" t="s">
        <v>513</v>
      </c>
      <c r="B484" s="74" t="s">
        <v>651</v>
      </c>
      <c r="C484" s="81">
        <v>288</v>
      </c>
    </row>
    <row r="485" spans="1:3" x14ac:dyDescent="0.2">
      <c r="A485" s="90" t="s">
        <v>513</v>
      </c>
      <c r="B485" s="74" t="s">
        <v>685</v>
      </c>
      <c r="C485" s="81">
        <v>278.10000000000002</v>
      </c>
    </row>
    <row r="486" spans="1:3" x14ac:dyDescent="0.2">
      <c r="A486" s="90" t="s">
        <v>513</v>
      </c>
      <c r="B486" s="74" t="s">
        <v>685</v>
      </c>
      <c r="C486" s="81">
        <v>278.10000000000002</v>
      </c>
    </row>
    <row r="487" spans="1:3" x14ac:dyDescent="0.2">
      <c r="A487" s="90" t="s">
        <v>513</v>
      </c>
      <c r="B487" s="74" t="s">
        <v>685</v>
      </c>
      <c r="C487" s="81">
        <v>278.10000000000002</v>
      </c>
    </row>
    <row r="488" spans="1:3" x14ac:dyDescent="0.2">
      <c r="A488" s="90" t="s">
        <v>513</v>
      </c>
      <c r="B488" s="74" t="s">
        <v>685</v>
      </c>
      <c r="C488" s="81">
        <v>278.10000000000002</v>
      </c>
    </row>
    <row r="489" spans="1:3" x14ac:dyDescent="0.2">
      <c r="A489" s="90" t="s">
        <v>513</v>
      </c>
      <c r="B489" s="74" t="s">
        <v>685</v>
      </c>
      <c r="C489" s="81">
        <v>278.10000000000002</v>
      </c>
    </row>
    <row r="490" spans="1:3" x14ac:dyDescent="0.2">
      <c r="A490" s="90" t="s">
        <v>513</v>
      </c>
      <c r="B490" s="74" t="s">
        <v>686</v>
      </c>
      <c r="C490" s="81">
        <v>123.3</v>
      </c>
    </row>
    <row r="491" spans="1:3" x14ac:dyDescent="0.2">
      <c r="A491" s="90" t="s">
        <v>513</v>
      </c>
      <c r="B491" s="74" t="s">
        <v>686</v>
      </c>
      <c r="C491" s="81">
        <v>123.3</v>
      </c>
    </row>
    <row r="492" spans="1:3" x14ac:dyDescent="0.2">
      <c r="A492" s="90" t="s">
        <v>513</v>
      </c>
      <c r="B492" s="74" t="s">
        <v>686</v>
      </c>
      <c r="C492" s="81">
        <v>123.3</v>
      </c>
    </row>
    <row r="493" spans="1:3" x14ac:dyDescent="0.2">
      <c r="A493" s="90" t="s">
        <v>513</v>
      </c>
      <c r="B493" s="74" t="s">
        <v>686</v>
      </c>
      <c r="C493" s="81">
        <v>123.3</v>
      </c>
    </row>
    <row r="494" spans="1:3" x14ac:dyDescent="0.2">
      <c r="A494" s="90" t="s">
        <v>513</v>
      </c>
      <c r="B494" s="74" t="s">
        <v>687</v>
      </c>
      <c r="C494" s="81">
        <v>206.1</v>
      </c>
    </row>
    <row r="495" spans="1:3" x14ac:dyDescent="0.2">
      <c r="A495" s="90" t="s">
        <v>513</v>
      </c>
      <c r="B495" s="74" t="s">
        <v>687</v>
      </c>
      <c r="C495" s="81">
        <v>206.1</v>
      </c>
    </row>
    <row r="496" spans="1:3" x14ac:dyDescent="0.2">
      <c r="A496" s="90" t="s">
        <v>513</v>
      </c>
      <c r="B496" s="74" t="s">
        <v>687</v>
      </c>
      <c r="C496" s="81">
        <v>206.1</v>
      </c>
    </row>
    <row r="497" spans="1:3" x14ac:dyDescent="0.2">
      <c r="A497" s="90" t="s">
        <v>513</v>
      </c>
      <c r="B497" s="74" t="s">
        <v>687</v>
      </c>
      <c r="C497" s="81">
        <v>206.1</v>
      </c>
    </row>
    <row r="498" spans="1:3" x14ac:dyDescent="0.2">
      <c r="A498" s="90" t="s">
        <v>513</v>
      </c>
      <c r="B498" s="74" t="s">
        <v>687</v>
      </c>
      <c r="C498" s="81">
        <v>206.1</v>
      </c>
    </row>
    <row r="499" spans="1:3" x14ac:dyDescent="0.2">
      <c r="A499" s="90" t="s">
        <v>513</v>
      </c>
      <c r="B499" s="74" t="s">
        <v>688</v>
      </c>
      <c r="C499" s="81">
        <v>458.1</v>
      </c>
    </row>
    <row r="500" spans="1:3" x14ac:dyDescent="0.2">
      <c r="A500" s="90" t="s">
        <v>513</v>
      </c>
      <c r="B500" s="74" t="s">
        <v>688</v>
      </c>
      <c r="C500" s="81">
        <v>458.1</v>
      </c>
    </row>
    <row r="501" spans="1:3" x14ac:dyDescent="0.2">
      <c r="A501" s="90" t="s">
        <v>513</v>
      </c>
      <c r="B501" s="74" t="s">
        <v>688</v>
      </c>
      <c r="C501" s="81">
        <v>458.1</v>
      </c>
    </row>
    <row r="502" spans="1:3" x14ac:dyDescent="0.2">
      <c r="A502" s="90" t="s">
        <v>513</v>
      </c>
      <c r="B502" s="74" t="s">
        <v>688</v>
      </c>
      <c r="C502" s="81">
        <v>458.1</v>
      </c>
    </row>
    <row r="503" spans="1:3" x14ac:dyDescent="0.2">
      <c r="A503" s="90" t="s">
        <v>513</v>
      </c>
      <c r="B503" s="74" t="s">
        <v>688</v>
      </c>
      <c r="C503" s="81">
        <v>458.1</v>
      </c>
    </row>
    <row r="504" spans="1:3" x14ac:dyDescent="0.2">
      <c r="A504" s="90" t="s">
        <v>513</v>
      </c>
      <c r="B504" s="74" t="s">
        <v>689</v>
      </c>
      <c r="C504" s="81">
        <v>197.1</v>
      </c>
    </row>
    <row r="505" spans="1:3" x14ac:dyDescent="0.2">
      <c r="A505" s="90" t="s">
        <v>513</v>
      </c>
      <c r="B505" s="74" t="s">
        <v>689</v>
      </c>
      <c r="C505" s="81">
        <v>197.1</v>
      </c>
    </row>
    <row r="506" spans="1:3" x14ac:dyDescent="0.2">
      <c r="A506" s="90" t="s">
        <v>513</v>
      </c>
      <c r="B506" s="74" t="s">
        <v>689</v>
      </c>
      <c r="C506" s="81">
        <v>197.1</v>
      </c>
    </row>
    <row r="507" spans="1:3" x14ac:dyDescent="0.2">
      <c r="A507" s="90" t="s">
        <v>513</v>
      </c>
      <c r="B507" s="74" t="s">
        <v>689</v>
      </c>
      <c r="C507" s="81">
        <v>197.1</v>
      </c>
    </row>
    <row r="508" spans="1:3" x14ac:dyDescent="0.2">
      <c r="A508" s="90" t="s">
        <v>513</v>
      </c>
      <c r="B508" s="74" t="s">
        <v>689</v>
      </c>
      <c r="C508" s="81">
        <v>197.1</v>
      </c>
    </row>
    <row r="509" spans="1:3" x14ac:dyDescent="0.2">
      <c r="A509" s="90" t="s">
        <v>513</v>
      </c>
      <c r="B509" s="74" t="s">
        <v>690</v>
      </c>
      <c r="C509" s="81">
        <v>71.099999999999994</v>
      </c>
    </row>
    <row r="510" spans="1:3" x14ac:dyDescent="0.2">
      <c r="A510" s="90" t="s">
        <v>513</v>
      </c>
      <c r="B510" s="74" t="s">
        <v>690</v>
      </c>
      <c r="C510" s="81">
        <v>71.099999999999994</v>
      </c>
    </row>
    <row r="511" spans="1:3" x14ac:dyDescent="0.2">
      <c r="A511" s="90" t="s">
        <v>513</v>
      </c>
      <c r="B511" s="74" t="s">
        <v>690</v>
      </c>
      <c r="C511" s="81">
        <v>71.099999999999994</v>
      </c>
    </row>
    <row r="512" spans="1:3" x14ac:dyDescent="0.2">
      <c r="A512" s="90" t="s">
        <v>513</v>
      </c>
      <c r="B512" s="74" t="s">
        <v>690</v>
      </c>
      <c r="C512" s="81">
        <v>71.099999999999994</v>
      </c>
    </row>
    <row r="513" spans="1:3" x14ac:dyDescent="0.2">
      <c r="A513" s="90" t="s">
        <v>513</v>
      </c>
      <c r="B513" s="74" t="s">
        <v>691</v>
      </c>
      <c r="C513" s="81">
        <v>103.5</v>
      </c>
    </row>
    <row r="514" spans="1:3" x14ac:dyDescent="0.2">
      <c r="A514" s="90" t="s">
        <v>513</v>
      </c>
      <c r="B514" s="74" t="s">
        <v>691</v>
      </c>
      <c r="C514" s="81">
        <v>103.5</v>
      </c>
    </row>
    <row r="515" spans="1:3" x14ac:dyDescent="0.2">
      <c r="A515" s="90" t="s">
        <v>513</v>
      </c>
      <c r="B515" s="74" t="s">
        <v>691</v>
      </c>
      <c r="C515" s="81">
        <v>103.5</v>
      </c>
    </row>
    <row r="516" spans="1:3" x14ac:dyDescent="0.2">
      <c r="A516" s="90" t="s">
        <v>513</v>
      </c>
      <c r="B516" s="74" t="s">
        <v>692</v>
      </c>
      <c r="C516" s="81">
        <v>50.4</v>
      </c>
    </row>
    <row r="517" spans="1:3" x14ac:dyDescent="0.2">
      <c r="A517" s="90" t="s">
        <v>513</v>
      </c>
      <c r="B517" s="74" t="s">
        <v>692</v>
      </c>
      <c r="C517" s="81">
        <v>50.4</v>
      </c>
    </row>
    <row r="518" spans="1:3" x14ac:dyDescent="0.2">
      <c r="A518" s="90" t="s">
        <v>513</v>
      </c>
      <c r="B518" s="74" t="s">
        <v>692</v>
      </c>
      <c r="C518" s="81">
        <v>50.4</v>
      </c>
    </row>
    <row r="519" spans="1:3" x14ac:dyDescent="0.2">
      <c r="A519" s="90" t="s">
        <v>513</v>
      </c>
      <c r="B519" s="74" t="s">
        <v>693</v>
      </c>
      <c r="C519" s="81">
        <v>180</v>
      </c>
    </row>
    <row r="520" spans="1:3" x14ac:dyDescent="0.2">
      <c r="A520" s="90" t="s">
        <v>513</v>
      </c>
      <c r="B520" s="74" t="s">
        <v>693</v>
      </c>
      <c r="C520" s="81">
        <v>180</v>
      </c>
    </row>
    <row r="521" spans="1:3" x14ac:dyDescent="0.2">
      <c r="A521" s="90" t="s">
        <v>513</v>
      </c>
      <c r="B521" s="74" t="s">
        <v>693</v>
      </c>
      <c r="C521" s="81">
        <v>180</v>
      </c>
    </row>
    <row r="522" spans="1:3" x14ac:dyDescent="0.2">
      <c r="A522" s="90" t="s">
        <v>513</v>
      </c>
      <c r="B522" s="74" t="s">
        <v>694</v>
      </c>
      <c r="C522" s="81">
        <v>206.1</v>
      </c>
    </row>
    <row r="523" spans="1:3" x14ac:dyDescent="0.2">
      <c r="A523" s="90" t="s">
        <v>513</v>
      </c>
      <c r="B523" s="74" t="s">
        <v>694</v>
      </c>
      <c r="C523" s="81">
        <v>206.1</v>
      </c>
    </row>
    <row r="524" spans="1:3" x14ac:dyDescent="0.2">
      <c r="A524" s="90" t="s">
        <v>513</v>
      </c>
      <c r="B524" s="74" t="s">
        <v>694</v>
      </c>
      <c r="C524" s="81">
        <v>206.1</v>
      </c>
    </row>
    <row r="525" spans="1:3" x14ac:dyDescent="0.2">
      <c r="A525" s="90" t="s">
        <v>513</v>
      </c>
      <c r="B525" s="74" t="s">
        <v>694</v>
      </c>
      <c r="C525" s="81">
        <v>206.1</v>
      </c>
    </row>
    <row r="526" spans="1:3" x14ac:dyDescent="0.2">
      <c r="A526" s="90" t="s">
        <v>513</v>
      </c>
      <c r="B526" s="74" t="s">
        <v>695</v>
      </c>
      <c r="C526" s="81">
        <v>332.1</v>
      </c>
    </row>
    <row r="527" spans="1:3" x14ac:dyDescent="0.2">
      <c r="A527" s="90" t="s">
        <v>513</v>
      </c>
      <c r="B527" s="74" t="s">
        <v>695</v>
      </c>
      <c r="C527" s="81">
        <v>332.1</v>
      </c>
    </row>
    <row r="528" spans="1:3" x14ac:dyDescent="0.2">
      <c r="A528" s="90" t="s">
        <v>513</v>
      </c>
      <c r="B528" s="74" t="s">
        <v>695</v>
      </c>
      <c r="C528" s="81">
        <v>332.1</v>
      </c>
    </row>
    <row r="529" spans="1:3" x14ac:dyDescent="0.2">
      <c r="A529" s="90" t="s">
        <v>513</v>
      </c>
      <c r="B529" s="74" t="s">
        <v>695</v>
      </c>
      <c r="C529" s="81">
        <v>332.1</v>
      </c>
    </row>
    <row r="530" spans="1:3" x14ac:dyDescent="0.2">
      <c r="A530" s="90" t="s">
        <v>513</v>
      </c>
      <c r="B530" s="74" t="s">
        <v>695</v>
      </c>
      <c r="C530" s="81">
        <v>332.1</v>
      </c>
    </row>
    <row r="531" spans="1:3" x14ac:dyDescent="0.2">
      <c r="A531" s="90" t="s">
        <v>513</v>
      </c>
      <c r="B531" s="74" t="s">
        <v>696</v>
      </c>
      <c r="C531" s="81">
        <v>178.2</v>
      </c>
    </row>
    <row r="532" spans="1:3" x14ac:dyDescent="0.2">
      <c r="A532" s="90" t="s">
        <v>513</v>
      </c>
      <c r="B532" s="74" t="s">
        <v>696</v>
      </c>
      <c r="C532" s="81">
        <v>178.2</v>
      </c>
    </row>
    <row r="533" spans="1:3" x14ac:dyDescent="0.2">
      <c r="A533" s="90" t="s">
        <v>513</v>
      </c>
      <c r="B533" s="74" t="s">
        <v>697</v>
      </c>
      <c r="C533" s="81">
        <v>202.5</v>
      </c>
    </row>
    <row r="534" spans="1:3" x14ac:dyDescent="0.2">
      <c r="A534" s="90" t="s">
        <v>513</v>
      </c>
      <c r="B534" s="74" t="s">
        <v>697</v>
      </c>
      <c r="C534" s="81">
        <v>202.5</v>
      </c>
    </row>
    <row r="535" spans="1:3" x14ac:dyDescent="0.2">
      <c r="A535" s="90" t="s">
        <v>513</v>
      </c>
      <c r="B535" s="74" t="s">
        <v>698</v>
      </c>
      <c r="C535" s="81">
        <v>283.5</v>
      </c>
    </row>
    <row r="536" spans="1:3" x14ac:dyDescent="0.2">
      <c r="A536" s="90" t="s">
        <v>513</v>
      </c>
      <c r="B536" s="74" t="s">
        <v>698</v>
      </c>
      <c r="C536" s="81">
        <v>283.5</v>
      </c>
    </row>
    <row r="537" spans="1:3" x14ac:dyDescent="0.2">
      <c r="A537" s="90" t="s">
        <v>513</v>
      </c>
      <c r="B537" s="74" t="s">
        <v>699</v>
      </c>
      <c r="C537" s="81">
        <v>315</v>
      </c>
    </row>
    <row r="538" spans="1:3" x14ac:dyDescent="0.2">
      <c r="A538" s="90" t="s">
        <v>513</v>
      </c>
      <c r="B538" s="74" t="s">
        <v>699</v>
      </c>
      <c r="C538" s="81">
        <v>315</v>
      </c>
    </row>
    <row r="539" spans="1:3" x14ac:dyDescent="0.2">
      <c r="A539" s="90" t="s">
        <v>513</v>
      </c>
      <c r="B539" s="74" t="s">
        <v>700</v>
      </c>
      <c r="C539" s="81">
        <v>126</v>
      </c>
    </row>
    <row r="540" spans="1:3" x14ac:dyDescent="0.2">
      <c r="A540" s="90" t="s">
        <v>513</v>
      </c>
      <c r="B540" s="74" t="s">
        <v>701</v>
      </c>
      <c r="C540" s="81">
        <v>126</v>
      </c>
    </row>
    <row r="541" spans="1:3" x14ac:dyDescent="0.2">
      <c r="A541" s="90" t="s">
        <v>513</v>
      </c>
      <c r="B541" s="74" t="s">
        <v>702</v>
      </c>
      <c r="C541" s="81">
        <v>202.5</v>
      </c>
    </row>
    <row r="542" spans="1:3" x14ac:dyDescent="0.2">
      <c r="A542" s="90" t="s">
        <v>513</v>
      </c>
      <c r="B542" s="74" t="s">
        <v>702</v>
      </c>
      <c r="C542" s="81">
        <v>202.5</v>
      </c>
    </row>
    <row r="543" spans="1:3" x14ac:dyDescent="0.2">
      <c r="A543" s="90" t="s">
        <v>513</v>
      </c>
      <c r="B543" s="74" t="s">
        <v>703</v>
      </c>
      <c r="C543" s="81">
        <v>268.2</v>
      </c>
    </row>
    <row r="544" spans="1:3" x14ac:dyDescent="0.2">
      <c r="A544" s="90" t="s">
        <v>513</v>
      </c>
      <c r="B544" s="74" t="s">
        <v>704</v>
      </c>
      <c r="C544" s="81">
        <v>270</v>
      </c>
    </row>
    <row r="545" spans="1:3" x14ac:dyDescent="0.2">
      <c r="A545" s="90" t="s">
        <v>513</v>
      </c>
      <c r="B545" s="74" t="s">
        <v>704</v>
      </c>
      <c r="C545" s="81">
        <v>270</v>
      </c>
    </row>
    <row r="546" spans="1:3" x14ac:dyDescent="0.2">
      <c r="A546" s="90" t="s">
        <v>513</v>
      </c>
      <c r="B546" s="74" t="s">
        <v>704</v>
      </c>
      <c r="C546" s="81">
        <v>270</v>
      </c>
    </row>
    <row r="547" spans="1:3" x14ac:dyDescent="0.2">
      <c r="A547" s="90" t="s">
        <v>513</v>
      </c>
      <c r="B547" s="74" t="s">
        <v>705</v>
      </c>
      <c r="C547" s="81">
        <v>139.5</v>
      </c>
    </row>
    <row r="548" spans="1:3" x14ac:dyDescent="0.2">
      <c r="A548" s="90" t="s">
        <v>513</v>
      </c>
      <c r="B548" s="74" t="s">
        <v>705</v>
      </c>
      <c r="C548" s="81">
        <v>139.5</v>
      </c>
    </row>
    <row r="549" spans="1:3" x14ac:dyDescent="0.2">
      <c r="A549" s="90" t="s">
        <v>513</v>
      </c>
      <c r="B549" s="74" t="s">
        <v>705</v>
      </c>
      <c r="C549" s="81">
        <v>139.5</v>
      </c>
    </row>
    <row r="550" spans="1:3" x14ac:dyDescent="0.2">
      <c r="A550" s="90" t="s">
        <v>513</v>
      </c>
      <c r="B550" s="74" t="s">
        <v>706</v>
      </c>
      <c r="C550" s="81">
        <v>139.5</v>
      </c>
    </row>
    <row r="551" spans="1:3" x14ac:dyDescent="0.2">
      <c r="A551" s="90" t="s">
        <v>513</v>
      </c>
      <c r="B551" s="74" t="s">
        <v>706</v>
      </c>
      <c r="C551" s="81">
        <v>139.5</v>
      </c>
    </row>
    <row r="552" spans="1:3" x14ac:dyDescent="0.2">
      <c r="A552" s="90" t="s">
        <v>513</v>
      </c>
      <c r="B552" s="74" t="s">
        <v>706</v>
      </c>
      <c r="C552" s="81">
        <v>139.5</v>
      </c>
    </row>
    <row r="553" spans="1:3" x14ac:dyDescent="0.2">
      <c r="A553" s="90" t="s">
        <v>513</v>
      </c>
      <c r="B553" s="74" t="s">
        <v>707</v>
      </c>
      <c r="C553" s="81">
        <v>139.5</v>
      </c>
    </row>
    <row r="554" spans="1:3" x14ac:dyDescent="0.2">
      <c r="A554" s="90" t="s">
        <v>513</v>
      </c>
      <c r="B554" s="74" t="s">
        <v>707</v>
      </c>
      <c r="C554" s="81">
        <v>139.5</v>
      </c>
    </row>
    <row r="555" spans="1:3" x14ac:dyDescent="0.2">
      <c r="A555" s="90" t="s">
        <v>513</v>
      </c>
      <c r="B555" s="74" t="s">
        <v>707</v>
      </c>
      <c r="C555" s="81">
        <v>139.5</v>
      </c>
    </row>
    <row r="556" spans="1:3" x14ac:dyDescent="0.2">
      <c r="A556" s="90" t="s">
        <v>513</v>
      </c>
      <c r="B556" s="74" t="s">
        <v>708</v>
      </c>
      <c r="C556" s="81">
        <v>139.5</v>
      </c>
    </row>
    <row r="557" spans="1:3" x14ac:dyDescent="0.2">
      <c r="A557" s="90" t="s">
        <v>513</v>
      </c>
      <c r="B557" s="74" t="s">
        <v>708</v>
      </c>
      <c r="C557" s="81">
        <v>139.5</v>
      </c>
    </row>
    <row r="558" spans="1:3" x14ac:dyDescent="0.2">
      <c r="A558" s="90" t="s">
        <v>513</v>
      </c>
      <c r="B558" s="74" t="s">
        <v>708</v>
      </c>
      <c r="C558" s="81">
        <v>139.5</v>
      </c>
    </row>
    <row r="559" spans="1:3" x14ac:dyDescent="0.2">
      <c r="A559" s="90" t="s">
        <v>513</v>
      </c>
      <c r="B559" s="74" t="s">
        <v>709</v>
      </c>
      <c r="C559" s="81">
        <v>139.5</v>
      </c>
    </row>
    <row r="560" spans="1:3" x14ac:dyDescent="0.2">
      <c r="A560" s="90" t="s">
        <v>513</v>
      </c>
      <c r="B560" s="74" t="s">
        <v>709</v>
      </c>
      <c r="C560" s="81">
        <v>139.5</v>
      </c>
    </row>
    <row r="561" spans="1:3" x14ac:dyDescent="0.2">
      <c r="A561" s="90" t="s">
        <v>513</v>
      </c>
      <c r="B561" s="74" t="s">
        <v>709</v>
      </c>
      <c r="C561" s="81">
        <v>139.5</v>
      </c>
    </row>
    <row r="562" spans="1:3" x14ac:dyDescent="0.2">
      <c r="A562" s="90" t="s">
        <v>513</v>
      </c>
      <c r="B562" s="74" t="s">
        <v>710</v>
      </c>
      <c r="C562" s="81">
        <v>251.1</v>
      </c>
    </row>
    <row r="563" spans="1:3" x14ac:dyDescent="0.2">
      <c r="A563" s="90" t="s">
        <v>513</v>
      </c>
      <c r="B563" s="74" t="s">
        <v>710</v>
      </c>
      <c r="C563" s="81">
        <v>251.1</v>
      </c>
    </row>
    <row r="564" spans="1:3" x14ac:dyDescent="0.2">
      <c r="A564" s="90" t="s">
        <v>513</v>
      </c>
      <c r="B564" s="74" t="s">
        <v>711</v>
      </c>
      <c r="C564" s="81">
        <v>166.5</v>
      </c>
    </row>
    <row r="565" spans="1:3" x14ac:dyDescent="0.2">
      <c r="A565" s="90" t="s">
        <v>513</v>
      </c>
      <c r="B565" s="74" t="s">
        <v>711</v>
      </c>
      <c r="C565" s="81">
        <v>166.5</v>
      </c>
    </row>
    <row r="566" spans="1:3" x14ac:dyDescent="0.2">
      <c r="A566" s="90" t="s">
        <v>513</v>
      </c>
      <c r="B566" s="74" t="s">
        <v>712</v>
      </c>
      <c r="C566" s="81">
        <v>353.7</v>
      </c>
    </row>
    <row r="567" spans="1:3" x14ac:dyDescent="0.2">
      <c r="A567" s="90" t="s">
        <v>513</v>
      </c>
      <c r="B567" s="74" t="s">
        <v>712</v>
      </c>
      <c r="C567" s="81">
        <v>353.7</v>
      </c>
    </row>
    <row r="568" spans="1:3" x14ac:dyDescent="0.2">
      <c r="A568" s="90" t="s">
        <v>513</v>
      </c>
      <c r="B568" s="74" t="s">
        <v>713</v>
      </c>
      <c r="C568" s="81">
        <v>359.1</v>
      </c>
    </row>
    <row r="569" spans="1:3" x14ac:dyDescent="0.2">
      <c r="A569" s="90" t="s">
        <v>513</v>
      </c>
      <c r="B569" s="74" t="s">
        <v>713</v>
      </c>
      <c r="C569" s="81">
        <v>359.1</v>
      </c>
    </row>
    <row r="570" spans="1:3" x14ac:dyDescent="0.2">
      <c r="A570" s="90" t="s">
        <v>513</v>
      </c>
      <c r="B570" s="74" t="s">
        <v>714</v>
      </c>
      <c r="C570" s="81">
        <v>359.1</v>
      </c>
    </row>
    <row r="571" spans="1:3" x14ac:dyDescent="0.2">
      <c r="A571" s="90" t="s">
        <v>513</v>
      </c>
      <c r="B571" s="74" t="s">
        <v>714</v>
      </c>
      <c r="C571" s="81">
        <v>359.1</v>
      </c>
    </row>
    <row r="572" spans="1:3" x14ac:dyDescent="0.2">
      <c r="A572" s="90" t="s">
        <v>513</v>
      </c>
      <c r="B572" s="74" t="s">
        <v>715</v>
      </c>
      <c r="C572" s="81">
        <v>278.10000000000002</v>
      </c>
    </row>
    <row r="573" spans="1:3" x14ac:dyDescent="0.2">
      <c r="A573" s="90" t="s">
        <v>513</v>
      </c>
      <c r="B573" s="74" t="s">
        <v>715</v>
      </c>
      <c r="C573" s="81">
        <v>278.10000000000002</v>
      </c>
    </row>
    <row r="574" spans="1:3" x14ac:dyDescent="0.2">
      <c r="A574" s="90" t="s">
        <v>513</v>
      </c>
      <c r="B574" s="74" t="s">
        <v>716</v>
      </c>
      <c r="C574" s="81">
        <v>363.6</v>
      </c>
    </row>
    <row r="575" spans="1:3" x14ac:dyDescent="0.2">
      <c r="A575" s="90" t="s">
        <v>513</v>
      </c>
      <c r="B575" s="74" t="s">
        <v>716</v>
      </c>
      <c r="C575" s="81">
        <v>363.6</v>
      </c>
    </row>
    <row r="576" spans="1:3" x14ac:dyDescent="0.2">
      <c r="A576" s="90" t="s">
        <v>513</v>
      </c>
      <c r="B576" s="74" t="s">
        <v>717</v>
      </c>
      <c r="C576" s="81">
        <v>225.9</v>
      </c>
    </row>
    <row r="577" spans="1:3" x14ac:dyDescent="0.2">
      <c r="A577" s="90" t="s">
        <v>513</v>
      </c>
      <c r="B577" s="74" t="s">
        <v>717</v>
      </c>
      <c r="C577" s="81">
        <v>225.9</v>
      </c>
    </row>
    <row r="578" spans="1:3" x14ac:dyDescent="0.2">
      <c r="A578" s="90" t="s">
        <v>513</v>
      </c>
      <c r="B578" s="74" t="s">
        <v>718</v>
      </c>
      <c r="C578" s="81">
        <v>211.5</v>
      </c>
    </row>
    <row r="579" spans="1:3" x14ac:dyDescent="0.2">
      <c r="A579" s="90" t="s">
        <v>513</v>
      </c>
      <c r="B579" s="74" t="s">
        <v>719</v>
      </c>
      <c r="C579" s="81">
        <v>261</v>
      </c>
    </row>
    <row r="580" spans="1:3" x14ac:dyDescent="0.2">
      <c r="A580" s="90" t="s">
        <v>513</v>
      </c>
      <c r="B580" s="74" t="s">
        <v>720</v>
      </c>
      <c r="C580" s="81">
        <v>341.1</v>
      </c>
    </row>
    <row r="581" spans="1:3" x14ac:dyDescent="0.2">
      <c r="A581" s="90" t="s">
        <v>513</v>
      </c>
      <c r="B581" s="74" t="s">
        <v>720</v>
      </c>
      <c r="C581" s="81">
        <v>341.1</v>
      </c>
    </row>
    <row r="582" spans="1:3" x14ac:dyDescent="0.2">
      <c r="A582" s="90" t="s">
        <v>513</v>
      </c>
      <c r="B582" s="74" t="s">
        <v>721</v>
      </c>
      <c r="C582" s="81">
        <v>197.1</v>
      </c>
    </row>
    <row r="583" spans="1:3" x14ac:dyDescent="0.2">
      <c r="A583" s="90" t="s">
        <v>513</v>
      </c>
      <c r="B583" s="74" t="s">
        <v>721</v>
      </c>
      <c r="C583" s="81">
        <v>197.1</v>
      </c>
    </row>
    <row r="584" spans="1:3" x14ac:dyDescent="0.2">
      <c r="A584" s="90" t="s">
        <v>513</v>
      </c>
      <c r="B584" s="74" t="s">
        <v>722</v>
      </c>
      <c r="C584" s="81">
        <v>175.5</v>
      </c>
    </row>
    <row r="585" spans="1:3" x14ac:dyDescent="0.2">
      <c r="A585" s="90" t="s">
        <v>513</v>
      </c>
      <c r="B585" s="74" t="s">
        <v>723</v>
      </c>
      <c r="C585" s="81">
        <v>372.6</v>
      </c>
    </row>
    <row r="586" spans="1:3" x14ac:dyDescent="0.2">
      <c r="A586" s="90" t="s">
        <v>513</v>
      </c>
      <c r="B586" s="74" t="s">
        <v>723</v>
      </c>
      <c r="C586" s="81">
        <v>372.6</v>
      </c>
    </row>
    <row r="587" spans="1:3" x14ac:dyDescent="0.2">
      <c r="A587" s="90" t="s">
        <v>513</v>
      </c>
      <c r="B587" s="74" t="s">
        <v>724</v>
      </c>
      <c r="C587" s="81">
        <v>144</v>
      </c>
    </row>
    <row r="588" spans="1:3" x14ac:dyDescent="0.2">
      <c r="A588" s="90" t="s">
        <v>513</v>
      </c>
      <c r="B588" s="74" t="s">
        <v>724</v>
      </c>
      <c r="C588" s="81">
        <v>144</v>
      </c>
    </row>
    <row r="589" spans="1:3" x14ac:dyDescent="0.2">
      <c r="A589" s="90" t="s">
        <v>513</v>
      </c>
      <c r="B589" s="74" t="s">
        <v>724</v>
      </c>
      <c r="C589" s="81">
        <v>144</v>
      </c>
    </row>
    <row r="590" spans="1:3" x14ac:dyDescent="0.2">
      <c r="A590" s="90" t="s">
        <v>513</v>
      </c>
      <c r="B590" s="74" t="s">
        <v>725</v>
      </c>
      <c r="C590" s="81">
        <v>130.5</v>
      </c>
    </row>
    <row r="591" spans="1:3" x14ac:dyDescent="0.2">
      <c r="A591" s="90" t="s">
        <v>513</v>
      </c>
      <c r="B591" s="74" t="s">
        <v>725</v>
      </c>
      <c r="C591" s="81">
        <v>130.5</v>
      </c>
    </row>
    <row r="592" spans="1:3" x14ac:dyDescent="0.2">
      <c r="A592" s="90" t="s">
        <v>513</v>
      </c>
      <c r="B592" s="74" t="s">
        <v>726</v>
      </c>
      <c r="C592" s="81">
        <v>283.5</v>
      </c>
    </row>
    <row r="593" spans="1:3" x14ac:dyDescent="0.2">
      <c r="A593" s="90" t="s">
        <v>513</v>
      </c>
      <c r="B593" s="74" t="s">
        <v>726</v>
      </c>
      <c r="C593" s="81">
        <v>283.5</v>
      </c>
    </row>
    <row r="594" spans="1:3" x14ac:dyDescent="0.2">
      <c r="A594" s="90" t="s">
        <v>513</v>
      </c>
      <c r="B594" s="74" t="s">
        <v>635</v>
      </c>
      <c r="C594" s="81">
        <v>468</v>
      </c>
    </row>
    <row r="595" spans="1:3" x14ac:dyDescent="0.2">
      <c r="A595" s="90" t="s">
        <v>513</v>
      </c>
      <c r="B595" s="74" t="s">
        <v>635</v>
      </c>
      <c r="C595" s="81">
        <v>468</v>
      </c>
    </row>
    <row r="596" spans="1:3" x14ac:dyDescent="0.2">
      <c r="A596" s="90" t="s">
        <v>513</v>
      </c>
      <c r="B596" s="74" t="s">
        <v>727</v>
      </c>
      <c r="C596" s="81">
        <v>188.1</v>
      </c>
    </row>
    <row r="597" spans="1:3" x14ac:dyDescent="0.2">
      <c r="A597" s="90" t="s">
        <v>513</v>
      </c>
      <c r="B597" s="74" t="s">
        <v>727</v>
      </c>
      <c r="C597" s="81">
        <v>188.1</v>
      </c>
    </row>
    <row r="598" spans="1:3" x14ac:dyDescent="0.2">
      <c r="A598" s="90" t="s">
        <v>513</v>
      </c>
      <c r="B598" s="74" t="s">
        <v>728</v>
      </c>
      <c r="C598" s="81">
        <v>2700</v>
      </c>
    </row>
    <row r="599" spans="1:3" x14ac:dyDescent="0.2">
      <c r="A599" s="90" t="s">
        <v>513</v>
      </c>
      <c r="B599" s="74" t="s">
        <v>729</v>
      </c>
      <c r="C599" s="81">
        <v>144</v>
      </c>
    </row>
    <row r="600" spans="1:3" x14ac:dyDescent="0.2">
      <c r="A600" s="90" t="s">
        <v>513</v>
      </c>
      <c r="B600" s="74" t="s">
        <v>729</v>
      </c>
      <c r="C600" s="81">
        <v>144</v>
      </c>
    </row>
    <row r="601" spans="1:3" x14ac:dyDescent="0.2">
      <c r="A601" s="90" t="s">
        <v>513</v>
      </c>
      <c r="B601" s="74" t="s">
        <v>730</v>
      </c>
      <c r="C601" s="81">
        <v>900</v>
      </c>
    </row>
    <row r="602" spans="1:3" x14ac:dyDescent="0.2">
      <c r="A602" s="90" t="s">
        <v>513</v>
      </c>
      <c r="B602" s="74" t="s">
        <v>730</v>
      </c>
      <c r="C602" s="81">
        <v>900</v>
      </c>
    </row>
    <row r="603" spans="1:3" x14ac:dyDescent="0.2">
      <c r="A603" s="90" t="s">
        <v>513</v>
      </c>
      <c r="B603" s="74" t="s">
        <v>731</v>
      </c>
      <c r="C603" s="81">
        <v>171</v>
      </c>
    </row>
    <row r="604" spans="1:3" x14ac:dyDescent="0.2">
      <c r="A604" s="90" t="s">
        <v>513</v>
      </c>
      <c r="B604" s="74" t="s">
        <v>731</v>
      </c>
      <c r="C604" s="81">
        <v>171</v>
      </c>
    </row>
    <row r="605" spans="1:3" x14ac:dyDescent="0.2">
      <c r="A605" s="90" t="s">
        <v>513</v>
      </c>
      <c r="B605" s="74" t="s">
        <v>703</v>
      </c>
      <c r="C605" s="81">
        <v>268.2</v>
      </c>
    </row>
    <row r="606" spans="1:3" x14ac:dyDescent="0.2">
      <c r="A606" s="90" t="s">
        <v>513</v>
      </c>
      <c r="B606" s="74" t="s">
        <v>703</v>
      </c>
      <c r="C606" s="81">
        <v>268.2</v>
      </c>
    </row>
    <row r="607" spans="1:3" x14ac:dyDescent="0.2">
      <c r="A607" s="90" t="s">
        <v>513</v>
      </c>
      <c r="B607" s="74" t="s">
        <v>732</v>
      </c>
      <c r="C607" s="81">
        <v>341.1</v>
      </c>
    </row>
    <row r="608" spans="1:3" x14ac:dyDescent="0.2">
      <c r="A608" s="90" t="s">
        <v>513</v>
      </c>
      <c r="B608" s="74" t="s">
        <v>732</v>
      </c>
      <c r="C608" s="81">
        <v>341.1</v>
      </c>
    </row>
    <row r="609" spans="1:3" x14ac:dyDescent="0.2">
      <c r="A609" s="90" t="s">
        <v>513</v>
      </c>
      <c r="B609" s="74" t="s">
        <v>733</v>
      </c>
      <c r="C609" s="81">
        <v>297</v>
      </c>
    </row>
    <row r="610" spans="1:3" x14ac:dyDescent="0.2">
      <c r="A610" s="90" t="s">
        <v>513</v>
      </c>
      <c r="B610" s="74" t="s">
        <v>733</v>
      </c>
      <c r="C610" s="81">
        <v>297</v>
      </c>
    </row>
    <row r="611" spans="1:3" x14ac:dyDescent="0.2">
      <c r="A611" s="90" t="s">
        <v>513</v>
      </c>
      <c r="B611" s="74" t="s">
        <v>734</v>
      </c>
      <c r="C611" s="81">
        <v>348.3</v>
      </c>
    </row>
    <row r="612" spans="1:3" x14ac:dyDescent="0.2">
      <c r="A612" s="90" t="s">
        <v>513</v>
      </c>
      <c r="B612" s="74" t="s">
        <v>734</v>
      </c>
      <c r="C612" s="81">
        <v>348.3</v>
      </c>
    </row>
    <row r="613" spans="1:3" x14ac:dyDescent="0.2">
      <c r="A613" s="90" t="s">
        <v>513</v>
      </c>
      <c r="B613" s="74" t="s">
        <v>735</v>
      </c>
      <c r="C613" s="81">
        <v>1349.1</v>
      </c>
    </row>
    <row r="614" spans="1:3" x14ac:dyDescent="0.2">
      <c r="A614" s="90" t="s">
        <v>513</v>
      </c>
      <c r="B614" s="74" t="s">
        <v>735</v>
      </c>
      <c r="C614" s="81">
        <v>1349.1</v>
      </c>
    </row>
    <row r="615" spans="1:3" x14ac:dyDescent="0.2">
      <c r="A615" s="90" t="s">
        <v>513</v>
      </c>
      <c r="B615" s="74" t="s">
        <v>736</v>
      </c>
      <c r="C615" s="81">
        <v>377.1</v>
      </c>
    </row>
    <row r="616" spans="1:3" x14ac:dyDescent="0.2">
      <c r="A616" s="90" t="s">
        <v>513</v>
      </c>
      <c r="B616" s="74" t="s">
        <v>736</v>
      </c>
      <c r="C616" s="81">
        <v>377.1</v>
      </c>
    </row>
    <row r="617" spans="1:3" x14ac:dyDescent="0.2">
      <c r="A617" s="90" t="s">
        <v>513</v>
      </c>
      <c r="B617" s="74" t="s">
        <v>737</v>
      </c>
      <c r="C617" s="81">
        <v>121.5</v>
      </c>
    </row>
    <row r="618" spans="1:3" x14ac:dyDescent="0.2">
      <c r="A618" s="90" t="s">
        <v>513</v>
      </c>
      <c r="B618" s="74" t="s">
        <v>737</v>
      </c>
      <c r="C618" s="81">
        <v>121.5</v>
      </c>
    </row>
    <row r="619" spans="1:3" x14ac:dyDescent="0.2">
      <c r="A619" s="90" t="s">
        <v>513</v>
      </c>
      <c r="B619" s="74" t="s">
        <v>737</v>
      </c>
      <c r="C619" s="81">
        <v>121.5</v>
      </c>
    </row>
    <row r="620" spans="1:3" x14ac:dyDescent="0.2">
      <c r="A620" s="90" t="s">
        <v>513</v>
      </c>
      <c r="B620" s="74" t="s">
        <v>737</v>
      </c>
      <c r="C620" s="81">
        <v>121.5</v>
      </c>
    </row>
    <row r="621" spans="1:3" x14ac:dyDescent="0.2">
      <c r="A621" s="90" t="s">
        <v>513</v>
      </c>
      <c r="B621" s="74" t="s">
        <v>738</v>
      </c>
      <c r="C621" s="81">
        <v>288</v>
      </c>
    </row>
    <row r="622" spans="1:3" x14ac:dyDescent="0.2">
      <c r="A622" s="90" t="s">
        <v>513</v>
      </c>
      <c r="B622" s="74" t="s">
        <v>738</v>
      </c>
      <c r="C622" s="81">
        <v>288</v>
      </c>
    </row>
    <row r="623" spans="1:3" x14ac:dyDescent="0.2">
      <c r="A623" s="90" t="s">
        <v>513</v>
      </c>
      <c r="B623" s="74" t="s">
        <v>739</v>
      </c>
      <c r="C623" s="81">
        <v>274.5</v>
      </c>
    </row>
    <row r="624" spans="1:3" x14ac:dyDescent="0.2">
      <c r="A624" s="90" t="s">
        <v>513</v>
      </c>
      <c r="B624" s="74" t="s">
        <v>739</v>
      </c>
      <c r="C624" s="81">
        <v>274.5</v>
      </c>
    </row>
    <row r="625" spans="1:3" x14ac:dyDescent="0.2">
      <c r="A625" s="90" t="s">
        <v>513</v>
      </c>
      <c r="B625" s="74" t="s">
        <v>740</v>
      </c>
      <c r="C625" s="81">
        <v>306</v>
      </c>
    </row>
    <row r="626" spans="1:3" x14ac:dyDescent="0.2">
      <c r="A626" s="90" t="s">
        <v>513</v>
      </c>
      <c r="B626" s="74" t="s">
        <v>740</v>
      </c>
      <c r="C626" s="81">
        <v>306</v>
      </c>
    </row>
    <row r="627" spans="1:3" x14ac:dyDescent="0.2">
      <c r="A627" s="90" t="s">
        <v>513</v>
      </c>
      <c r="B627" s="74" t="s">
        <v>741</v>
      </c>
      <c r="C627" s="81">
        <v>801</v>
      </c>
    </row>
    <row r="628" spans="1:3" x14ac:dyDescent="0.2">
      <c r="A628" s="90" t="s">
        <v>513</v>
      </c>
      <c r="B628" s="74" t="s">
        <v>741</v>
      </c>
      <c r="C628" s="81">
        <v>801</v>
      </c>
    </row>
    <row r="629" spans="1:3" x14ac:dyDescent="0.2">
      <c r="A629" s="90" t="s">
        <v>513</v>
      </c>
      <c r="B629" s="74" t="s">
        <v>741</v>
      </c>
      <c r="C629" s="81">
        <v>801</v>
      </c>
    </row>
    <row r="630" spans="1:3" x14ac:dyDescent="0.2">
      <c r="A630" s="90" t="s">
        <v>513</v>
      </c>
      <c r="B630" s="74" t="s">
        <v>742</v>
      </c>
      <c r="C630" s="81">
        <v>224.1</v>
      </c>
    </row>
    <row r="631" spans="1:3" x14ac:dyDescent="0.2">
      <c r="A631" s="90" t="s">
        <v>513</v>
      </c>
      <c r="B631" s="74" t="s">
        <v>742</v>
      </c>
      <c r="C631" s="81">
        <v>224.1</v>
      </c>
    </row>
    <row r="632" spans="1:3" x14ac:dyDescent="0.2">
      <c r="A632" s="90" t="s">
        <v>513</v>
      </c>
      <c r="B632" s="74" t="s">
        <v>742</v>
      </c>
      <c r="C632" s="81">
        <v>224.1</v>
      </c>
    </row>
    <row r="633" spans="1:3" x14ac:dyDescent="0.2">
      <c r="A633" s="90" t="s">
        <v>513</v>
      </c>
      <c r="B633" s="74" t="s">
        <v>742</v>
      </c>
      <c r="C633" s="81">
        <v>224.1</v>
      </c>
    </row>
    <row r="634" spans="1:3" x14ac:dyDescent="0.2">
      <c r="A634" s="90" t="s">
        <v>513</v>
      </c>
      <c r="B634" s="74" t="s">
        <v>742</v>
      </c>
      <c r="C634" s="81">
        <v>224.1</v>
      </c>
    </row>
    <row r="635" spans="1:3" x14ac:dyDescent="0.2">
      <c r="A635" s="90" t="s">
        <v>513</v>
      </c>
      <c r="B635" s="74" t="s">
        <v>743</v>
      </c>
      <c r="C635" s="81">
        <v>318.60000000000002</v>
      </c>
    </row>
    <row r="636" spans="1:3" x14ac:dyDescent="0.2">
      <c r="A636" s="90" t="s">
        <v>513</v>
      </c>
      <c r="B636" s="74" t="s">
        <v>743</v>
      </c>
      <c r="C636" s="81">
        <v>318.60000000000002</v>
      </c>
    </row>
    <row r="637" spans="1:3" x14ac:dyDescent="0.2">
      <c r="A637" s="90" t="s">
        <v>513</v>
      </c>
      <c r="B637" s="74" t="s">
        <v>743</v>
      </c>
      <c r="C637" s="81">
        <v>318.60000000000002</v>
      </c>
    </row>
    <row r="638" spans="1:3" x14ac:dyDescent="0.2">
      <c r="A638" s="90" t="s">
        <v>513</v>
      </c>
      <c r="B638" s="74" t="s">
        <v>743</v>
      </c>
      <c r="C638" s="81">
        <v>318.60000000000002</v>
      </c>
    </row>
    <row r="639" spans="1:3" x14ac:dyDescent="0.2">
      <c r="A639" s="90" t="s">
        <v>513</v>
      </c>
      <c r="B639" s="74" t="s">
        <v>743</v>
      </c>
      <c r="C639" s="81">
        <v>318.60000000000002</v>
      </c>
    </row>
    <row r="640" spans="1:3" x14ac:dyDescent="0.2">
      <c r="A640" s="90" t="s">
        <v>513</v>
      </c>
      <c r="B640" s="74" t="s">
        <v>744</v>
      </c>
      <c r="C640" s="81">
        <v>252</v>
      </c>
    </row>
    <row r="641" spans="1:3" x14ac:dyDescent="0.2">
      <c r="A641" s="90" t="s">
        <v>513</v>
      </c>
      <c r="B641" s="74" t="s">
        <v>744</v>
      </c>
      <c r="C641" s="81">
        <v>252</v>
      </c>
    </row>
    <row r="642" spans="1:3" x14ac:dyDescent="0.2">
      <c r="A642" s="90" t="s">
        <v>513</v>
      </c>
      <c r="B642" s="74" t="s">
        <v>744</v>
      </c>
      <c r="C642" s="81">
        <v>252</v>
      </c>
    </row>
    <row r="643" spans="1:3" x14ac:dyDescent="0.2">
      <c r="A643" s="90" t="s">
        <v>513</v>
      </c>
      <c r="B643" s="74" t="s">
        <v>744</v>
      </c>
      <c r="C643" s="81">
        <v>252</v>
      </c>
    </row>
    <row r="644" spans="1:3" x14ac:dyDescent="0.2">
      <c r="A644" s="90" t="s">
        <v>513</v>
      </c>
      <c r="B644" s="74" t="s">
        <v>744</v>
      </c>
      <c r="C644" s="81">
        <v>252</v>
      </c>
    </row>
    <row r="645" spans="1:3" x14ac:dyDescent="0.2">
      <c r="A645" s="90" t="s">
        <v>513</v>
      </c>
      <c r="B645" s="74" t="s">
        <v>745</v>
      </c>
      <c r="C645" s="81">
        <v>251.1</v>
      </c>
    </row>
    <row r="646" spans="1:3" x14ac:dyDescent="0.2">
      <c r="A646" s="90" t="s">
        <v>513</v>
      </c>
      <c r="B646" s="74" t="s">
        <v>745</v>
      </c>
      <c r="C646" s="81">
        <v>251.1</v>
      </c>
    </row>
    <row r="647" spans="1:3" x14ac:dyDescent="0.2">
      <c r="A647" s="90" t="s">
        <v>513</v>
      </c>
      <c r="B647" s="74" t="s">
        <v>745</v>
      </c>
      <c r="C647" s="81">
        <v>251.1</v>
      </c>
    </row>
    <row r="648" spans="1:3" x14ac:dyDescent="0.2">
      <c r="A648" s="90" t="s">
        <v>513</v>
      </c>
      <c r="B648" s="74" t="s">
        <v>745</v>
      </c>
      <c r="C648" s="81">
        <v>251.1</v>
      </c>
    </row>
    <row r="649" spans="1:3" x14ac:dyDescent="0.2">
      <c r="A649" s="90" t="s">
        <v>513</v>
      </c>
      <c r="B649" s="74" t="s">
        <v>745</v>
      </c>
      <c r="C649" s="81">
        <v>251.1</v>
      </c>
    </row>
    <row r="650" spans="1:3" x14ac:dyDescent="0.2">
      <c r="A650" s="90" t="s">
        <v>513</v>
      </c>
      <c r="B650" s="74" t="s">
        <v>699</v>
      </c>
      <c r="C650" s="81">
        <v>315</v>
      </c>
    </row>
    <row r="651" spans="1:3" x14ac:dyDescent="0.2">
      <c r="A651" s="90" t="s">
        <v>513</v>
      </c>
      <c r="B651" s="74" t="s">
        <v>699</v>
      </c>
      <c r="C651" s="81">
        <v>315</v>
      </c>
    </row>
    <row r="652" spans="1:3" x14ac:dyDescent="0.2">
      <c r="A652" s="90" t="s">
        <v>513</v>
      </c>
      <c r="B652" s="74" t="s">
        <v>746</v>
      </c>
      <c r="C652" s="81">
        <v>216</v>
      </c>
    </row>
    <row r="653" spans="1:3" x14ac:dyDescent="0.2">
      <c r="A653" s="90" t="s">
        <v>513</v>
      </c>
      <c r="B653" s="74" t="s">
        <v>746</v>
      </c>
      <c r="C653" s="81">
        <v>216</v>
      </c>
    </row>
    <row r="654" spans="1:3" x14ac:dyDescent="0.2">
      <c r="A654" s="90" t="s">
        <v>513</v>
      </c>
      <c r="B654" s="74" t="s">
        <v>747</v>
      </c>
      <c r="C654" s="81">
        <v>224.1</v>
      </c>
    </row>
    <row r="655" spans="1:3" x14ac:dyDescent="0.2">
      <c r="A655" s="90" t="s">
        <v>513</v>
      </c>
      <c r="B655" s="74" t="s">
        <v>747</v>
      </c>
      <c r="C655" s="81">
        <v>224.1</v>
      </c>
    </row>
    <row r="656" spans="1:3" x14ac:dyDescent="0.2">
      <c r="A656" s="90" t="s">
        <v>513</v>
      </c>
      <c r="B656" s="74" t="s">
        <v>748</v>
      </c>
      <c r="C656" s="81">
        <v>306</v>
      </c>
    </row>
    <row r="657" spans="1:3" x14ac:dyDescent="0.2">
      <c r="A657" s="90" t="s">
        <v>513</v>
      </c>
      <c r="B657" s="74" t="s">
        <v>748</v>
      </c>
      <c r="C657" s="81">
        <v>306</v>
      </c>
    </row>
    <row r="658" spans="1:3" x14ac:dyDescent="0.2">
      <c r="A658" s="90" t="s">
        <v>513</v>
      </c>
      <c r="B658" s="74" t="s">
        <v>749</v>
      </c>
      <c r="C658" s="81">
        <v>291.60000000000002</v>
      </c>
    </row>
    <row r="659" spans="1:3" x14ac:dyDescent="0.2">
      <c r="A659" s="90" t="s">
        <v>513</v>
      </c>
      <c r="B659" s="74" t="s">
        <v>749</v>
      </c>
      <c r="C659" s="81">
        <v>291.60000000000002</v>
      </c>
    </row>
    <row r="660" spans="1:3" x14ac:dyDescent="0.2">
      <c r="A660" s="90" t="s">
        <v>513</v>
      </c>
      <c r="B660" s="74" t="s">
        <v>749</v>
      </c>
      <c r="C660" s="81">
        <v>291.60000000000002</v>
      </c>
    </row>
    <row r="661" spans="1:3" x14ac:dyDescent="0.2">
      <c r="A661" s="90" t="s">
        <v>513</v>
      </c>
      <c r="B661" s="74" t="s">
        <v>750</v>
      </c>
      <c r="C661" s="81">
        <v>76.5</v>
      </c>
    </row>
    <row r="662" spans="1:3" x14ac:dyDescent="0.2">
      <c r="A662" s="90" t="s">
        <v>513</v>
      </c>
      <c r="B662" s="74" t="s">
        <v>690</v>
      </c>
      <c r="C662" s="81">
        <v>71.099999999999994</v>
      </c>
    </row>
    <row r="663" spans="1:3" x14ac:dyDescent="0.2">
      <c r="A663" s="90" t="s">
        <v>513</v>
      </c>
      <c r="B663" s="74" t="s">
        <v>690</v>
      </c>
      <c r="C663" s="81">
        <v>71.099999999999994</v>
      </c>
    </row>
    <row r="664" spans="1:3" x14ac:dyDescent="0.2">
      <c r="A664" s="90" t="s">
        <v>513</v>
      </c>
      <c r="B664" s="74" t="s">
        <v>751</v>
      </c>
      <c r="C664" s="81">
        <v>341.1</v>
      </c>
    </row>
    <row r="665" spans="1:3" x14ac:dyDescent="0.2">
      <c r="A665" s="90" t="s">
        <v>513</v>
      </c>
      <c r="B665" s="74" t="s">
        <v>751</v>
      </c>
      <c r="C665" s="81">
        <v>341.1</v>
      </c>
    </row>
    <row r="666" spans="1:3" x14ac:dyDescent="0.2">
      <c r="A666" s="90" t="s">
        <v>513</v>
      </c>
      <c r="B666" s="74" t="s">
        <v>751</v>
      </c>
      <c r="C666" s="81">
        <v>341.1</v>
      </c>
    </row>
    <row r="667" spans="1:3" x14ac:dyDescent="0.2">
      <c r="A667" s="90" t="s">
        <v>513</v>
      </c>
      <c r="B667" s="74" t="s">
        <v>752</v>
      </c>
      <c r="C667" s="81">
        <v>175.5</v>
      </c>
    </row>
    <row r="668" spans="1:3" x14ac:dyDescent="0.2">
      <c r="A668" s="90" t="s">
        <v>513</v>
      </c>
      <c r="B668" s="74" t="s">
        <v>752</v>
      </c>
      <c r="C668" s="81">
        <v>175.5</v>
      </c>
    </row>
    <row r="669" spans="1:3" x14ac:dyDescent="0.2">
      <c r="A669" s="90" t="s">
        <v>513</v>
      </c>
      <c r="B669" s="74" t="s">
        <v>752</v>
      </c>
      <c r="C669" s="81">
        <v>175.5</v>
      </c>
    </row>
    <row r="670" spans="1:3" x14ac:dyDescent="0.2">
      <c r="A670" s="90" t="s">
        <v>513</v>
      </c>
      <c r="B670" s="74" t="s">
        <v>753</v>
      </c>
      <c r="C670" s="81">
        <v>108</v>
      </c>
    </row>
    <row r="671" spans="1:3" x14ac:dyDescent="0.2">
      <c r="A671" s="90" t="s">
        <v>513</v>
      </c>
      <c r="B671" s="74" t="s">
        <v>753</v>
      </c>
      <c r="C671" s="81">
        <v>108</v>
      </c>
    </row>
    <row r="672" spans="1:3" x14ac:dyDescent="0.2">
      <c r="A672" s="90" t="s">
        <v>513</v>
      </c>
      <c r="B672" s="74" t="s">
        <v>753</v>
      </c>
      <c r="C672" s="81">
        <v>108</v>
      </c>
    </row>
    <row r="673" spans="1:3" x14ac:dyDescent="0.2">
      <c r="A673" s="90" t="s">
        <v>513</v>
      </c>
      <c r="B673" s="74" t="s">
        <v>754</v>
      </c>
      <c r="C673" s="81">
        <v>88.2</v>
      </c>
    </row>
    <row r="674" spans="1:3" x14ac:dyDescent="0.2">
      <c r="A674" s="90" t="s">
        <v>513</v>
      </c>
      <c r="B674" s="74" t="s">
        <v>754</v>
      </c>
      <c r="C674" s="81">
        <v>88.2</v>
      </c>
    </row>
    <row r="675" spans="1:3" x14ac:dyDescent="0.2">
      <c r="A675" s="90" t="s">
        <v>513</v>
      </c>
      <c r="B675" s="74" t="s">
        <v>754</v>
      </c>
      <c r="C675" s="81">
        <v>88.2</v>
      </c>
    </row>
    <row r="676" spans="1:3" x14ac:dyDescent="0.2">
      <c r="A676" s="90" t="s">
        <v>513</v>
      </c>
      <c r="B676" s="74" t="s">
        <v>755</v>
      </c>
      <c r="C676" s="81">
        <v>358.2</v>
      </c>
    </row>
    <row r="677" spans="1:3" x14ac:dyDescent="0.2">
      <c r="A677" s="90" t="s">
        <v>513</v>
      </c>
      <c r="B677" s="74" t="s">
        <v>755</v>
      </c>
      <c r="C677" s="81">
        <v>358.2</v>
      </c>
    </row>
    <row r="678" spans="1:3" x14ac:dyDescent="0.2">
      <c r="A678" s="90" t="s">
        <v>513</v>
      </c>
      <c r="B678" s="74" t="s">
        <v>755</v>
      </c>
      <c r="C678" s="81">
        <v>358.2</v>
      </c>
    </row>
    <row r="679" spans="1:3" x14ac:dyDescent="0.2">
      <c r="A679" s="90" t="s">
        <v>513</v>
      </c>
      <c r="B679" s="74" t="s">
        <v>756</v>
      </c>
      <c r="C679" s="81">
        <v>973.8</v>
      </c>
    </row>
    <row r="680" spans="1:3" x14ac:dyDescent="0.2">
      <c r="A680" s="90" t="s">
        <v>513</v>
      </c>
      <c r="B680" s="74" t="s">
        <v>757</v>
      </c>
      <c r="C680" s="81">
        <v>395.1</v>
      </c>
    </row>
    <row r="681" spans="1:3" x14ac:dyDescent="0.2">
      <c r="A681" s="90" t="s">
        <v>513</v>
      </c>
      <c r="B681" s="74" t="s">
        <v>757</v>
      </c>
      <c r="C681" s="81">
        <v>395.1</v>
      </c>
    </row>
    <row r="682" spans="1:3" x14ac:dyDescent="0.2">
      <c r="A682" s="90" t="s">
        <v>513</v>
      </c>
      <c r="B682" s="74" t="s">
        <v>757</v>
      </c>
      <c r="C682" s="81">
        <v>395.1</v>
      </c>
    </row>
    <row r="683" spans="1:3" x14ac:dyDescent="0.2">
      <c r="A683" s="90" t="s">
        <v>513</v>
      </c>
      <c r="B683" s="74" t="s">
        <v>757</v>
      </c>
      <c r="C683" s="81">
        <v>202.5</v>
      </c>
    </row>
    <row r="684" spans="1:3" x14ac:dyDescent="0.2">
      <c r="A684" s="90" t="s">
        <v>513</v>
      </c>
      <c r="B684" s="74" t="s">
        <v>757</v>
      </c>
      <c r="C684" s="81">
        <v>202.5</v>
      </c>
    </row>
    <row r="685" spans="1:3" x14ac:dyDescent="0.2">
      <c r="A685" s="90" t="s">
        <v>513</v>
      </c>
      <c r="B685" s="74" t="s">
        <v>757</v>
      </c>
      <c r="C685" s="81">
        <v>202.5</v>
      </c>
    </row>
    <row r="686" spans="1:3" x14ac:dyDescent="0.2">
      <c r="A686" s="90" t="s">
        <v>513</v>
      </c>
      <c r="B686" s="74" t="s">
        <v>758</v>
      </c>
      <c r="C686" s="81">
        <v>223.2</v>
      </c>
    </row>
    <row r="687" spans="1:3" x14ac:dyDescent="0.2">
      <c r="A687" s="90" t="s">
        <v>513</v>
      </c>
      <c r="B687" s="74" t="s">
        <v>758</v>
      </c>
      <c r="C687" s="81">
        <v>223.2</v>
      </c>
    </row>
    <row r="688" spans="1:3" x14ac:dyDescent="0.2">
      <c r="A688" s="90" t="s">
        <v>513</v>
      </c>
      <c r="B688" s="74" t="s">
        <v>758</v>
      </c>
      <c r="C688" s="81">
        <v>223.2</v>
      </c>
    </row>
    <row r="689" spans="1:3" x14ac:dyDescent="0.2">
      <c r="A689" s="90" t="s">
        <v>513</v>
      </c>
      <c r="B689" s="74" t="s">
        <v>758</v>
      </c>
      <c r="C689" s="81">
        <v>314.10000000000002</v>
      </c>
    </row>
    <row r="690" spans="1:3" x14ac:dyDescent="0.2">
      <c r="A690" s="90" t="s">
        <v>513</v>
      </c>
      <c r="B690" s="74" t="s">
        <v>758</v>
      </c>
      <c r="C690" s="81">
        <v>314.10000000000002</v>
      </c>
    </row>
    <row r="691" spans="1:3" x14ac:dyDescent="0.2">
      <c r="A691" s="90" t="s">
        <v>513</v>
      </c>
      <c r="B691" s="74" t="s">
        <v>758</v>
      </c>
      <c r="C691" s="81">
        <v>314.10000000000002</v>
      </c>
    </row>
    <row r="692" spans="1:3" x14ac:dyDescent="0.2">
      <c r="A692" s="90" t="s">
        <v>513</v>
      </c>
      <c r="B692" s="74" t="s">
        <v>758</v>
      </c>
      <c r="C692" s="81">
        <v>292.5</v>
      </c>
    </row>
    <row r="693" spans="1:3" x14ac:dyDescent="0.2">
      <c r="A693" s="90" t="s">
        <v>513</v>
      </c>
      <c r="B693" s="74" t="s">
        <v>758</v>
      </c>
      <c r="C693" s="81">
        <v>292.5</v>
      </c>
    </row>
    <row r="694" spans="1:3" x14ac:dyDescent="0.2">
      <c r="A694" s="90" t="s">
        <v>513</v>
      </c>
      <c r="B694" s="74" t="s">
        <v>758</v>
      </c>
      <c r="C694" s="81">
        <v>292.5</v>
      </c>
    </row>
    <row r="695" spans="1:3" x14ac:dyDescent="0.2">
      <c r="A695" s="90" t="s">
        <v>513</v>
      </c>
      <c r="B695" s="74" t="s">
        <v>759</v>
      </c>
      <c r="C695" s="81">
        <v>214.2</v>
      </c>
    </row>
    <row r="696" spans="1:3" x14ac:dyDescent="0.2">
      <c r="A696" s="90" t="s">
        <v>513</v>
      </c>
      <c r="B696" s="74" t="s">
        <v>759</v>
      </c>
      <c r="C696" s="81">
        <v>214.2</v>
      </c>
    </row>
    <row r="697" spans="1:3" x14ac:dyDescent="0.2">
      <c r="A697" s="90" t="s">
        <v>513</v>
      </c>
      <c r="B697" s="74" t="s">
        <v>759</v>
      </c>
      <c r="C697" s="81">
        <v>214.2</v>
      </c>
    </row>
    <row r="698" spans="1:3" x14ac:dyDescent="0.2">
      <c r="A698" s="90" t="s">
        <v>513</v>
      </c>
      <c r="B698" s="74" t="s">
        <v>631</v>
      </c>
      <c r="C698" s="81">
        <v>277.2</v>
      </c>
    </row>
    <row r="699" spans="1:3" x14ac:dyDescent="0.2">
      <c r="A699" s="90" t="s">
        <v>513</v>
      </c>
      <c r="B699" s="74" t="s">
        <v>631</v>
      </c>
      <c r="C699" s="81">
        <v>277.2</v>
      </c>
    </row>
    <row r="700" spans="1:3" x14ac:dyDescent="0.2">
      <c r="A700" s="90" t="s">
        <v>513</v>
      </c>
      <c r="B700" s="74" t="s">
        <v>760</v>
      </c>
      <c r="C700" s="81">
        <v>175.5</v>
      </c>
    </row>
    <row r="701" spans="1:3" x14ac:dyDescent="0.2">
      <c r="A701" s="90" t="s">
        <v>513</v>
      </c>
      <c r="B701" s="74" t="s">
        <v>760</v>
      </c>
      <c r="C701" s="81">
        <v>175.5</v>
      </c>
    </row>
    <row r="702" spans="1:3" x14ac:dyDescent="0.2">
      <c r="A702" s="90" t="s">
        <v>513</v>
      </c>
      <c r="B702" s="74" t="s">
        <v>761</v>
      </c>
      <c r="C702" s="81">
        <v>4500</v>
      </c>
    </row>
    <row r="703" spans="1:3" x14ac:dyDescent="0.2">
      <c r="A703" s="90" t="s">
        <v>513</v>
      </c>
      <c r="B703" s="74" t="s">
        <v>762</v>
      </c>
      <c r="C703" s="81">
        <v>99</v>
      </c>
    </row>
    <row r="704" spans="1:3" x14ac:dyDescent="0.2">
      <c r="A704" s="90" t="s">
        <v>513</v>
      </c>
      <c r="B704" s="74" t="s">
        <v>762</v>
      </c>
      <c r="C704" s="81">
        <v>99</v>
      </c>
    </row>
    <row r="705" spans="1:3" x14ac:dyDescent="0.2">
      <c r="A705" s="90" t="s">
        <v>513</v>
      </c>
      <c r="B705" s="74" t="s">
        <v>763</v>
      </c>
      <c r="C705" s="81">
        <v>178.2</v>
      </c>
    </row>
    <row r="706" spans="1:3" x14ac:dyDescent="0.2">
      <c r="A706" s="90" t="s">
        <v>513</v>
      </c>
      <c r="B706" s="74" t="s">
        <v>763</v>
      </c>
      <c r="C706" s="81">
        <v>178.2</v>
      </c>
    </row>
    <row r="707" spans="1:3" x14ac:dyDescent="0.2">
      <c r="A707" s="90" t="s">
        <v>513</v>
      </c>
      <c r="B707" s="74" t="s">
        <v>764</v>
      </c>
      <c r="C707" s="81">
        <v>359.1</v>
      </c>
    </row>
    <row r="708" spans="1:3" x14ac:dyDescent="0.2">
      <c r="A708" s="90" t="s">
        <v>513</v>
      </c>
      <c r="B708" s="74" t="s">
        <v>764</v>
      </c>
      <c r="C708" s="81">
        <v>359.1</v>
      </c>
    </row>
    <row r="709" spans="1:3" x14ac:dyDescent="0.2">
      <c r="A709" s="90" t="s">
        <v>513</v>
      </c>
      <c r="B709" s="74" t="s">
        <v>765</v>
      </c>
      <c r="C709" s="81">
        <v>277.2</v>
      </c>
    </row>
    <row r="710" spans="1:3" x14ac:dyDescent="0.2">
      <c r="A710" s="90" t="s">
        <v>513</v>
      </c>
      <c r="B710" s="74" t="s">
        <v>765</v>
      </c>
      <c r="C710" s="81">
        <v>277.2</v>
      </c>
    </row>
    <row r="711" spans="1:3" x14ac:dyDescent="0.2">
      <c r="A711" s="90" t="s">
        <v>513</v>
      </c>
      <c r="B711" s="74" t="s">
        <v>765</v>
      </c>
      <c r="C711" s="81">
        <v>277.2</v>
      </c>
    </row>
    <row r="712" spans="1:3" x14ac:dyDescent="0.2">
      <c r="A712" s="90" t="s">
        <v>513</v>
      </c>
      <c r="B712" s="74" t="s">
        <v>766</v>
      </c>
      <c r="C712" s="81">
        <v>292.5</v>
      </c>
    </row>
    <row r="713" spans="1:3" x14ac:dyDescent="0.2">
      <c r="A713" s="90" t="s">
        <v>513</v>
      </c>
      <c r="B713" s="74" t="s">
        <v>766</v>
      </c>
      <c r="C713" s="81">
        <v>292.5</v>
      </c>
    </row>
    <row r="714" spans="1:3" x14ac:dyDescent="0.2">
      <c r="A714" s="90" t="s">
        <v>513</v>
      </c>
      <c r="B714" s="74" t="s">
        <v>766</v>
      </c>
      <c r="C714" s="81">
        <v>292.5</v>
      </c>
    </row>
    <row r="715" spans="1:3" x14ac:dyDescent="0.2">
      <c r="A715" s="90" t="s">
        <v>513</v>
      </c>
      <c r="B715" s="74" t="s">
        <v>767</v>
      </c>
      <c r="C715" s="81">
        <v>160.19999999999999</v>
      </c>
    </row>
    <row r="716" spans="1:3" x14ac:dyDescent="0.2">
      <c r="A716" s="90" t="s">
        <v>513</v>
      </c>
      <c r="B716" s="74" t="s">
        <v>768</v>
      </c>
      <c r="C716" s="81">
        <v>1125</v>
      </c>
    </row>
    <row r="717" spans="1:3" x14ac:dyDescent="0.2">
      <c r="A717" s="90" t="s">
        <v>513</v>
      </c>
      <c r="B717" s="74" t="s">
        <v>768</v>
      </c>
      <c r="C717" s="81">
        <v>1125</v>
      </c>
    </row>
    <row r="718" spans="1:3" x14ac:dyDescent="0.2">
      <c r="A718" s="90" t="s">
        <v>513</v>
      </c>
      <c r="B718" s="74" t="s">
        <v>769</v>
      </c>
      <c r="C718" s="81">
        <v>329.4</v>
      </c>
    </row>
    <row r="719" spans="1:3" x14ac:dyDescent="0.2">
      <c r="A719" s="90" t="s">
        <v>513</v>
      </c>
      <c r="B719" s="74" t="s">
        <v>769</v>
      </c>
      <c r="C719" s="81">
        <v>329.4</v>
      </c>
    </row>
    <row r="720" spans="1:3" x14ac:dyDescent="0.2">
      <c r="A720" s="90" t="s">
        <v>513</v>
      </c>
      <c r="B720" s="74" t="s">
        <v>769</v>
      </c>
      <c r="C720" s="81">
        <v>329.4</v>
      </c>
    </row>
    <row r="721" spans="1:3" x14ac:dyDescent="0.2">
      <c r="A721" s="90" t="s">
        <v>513</v>
      </c>
      <c r="B721" s="74" t="s">
        <v>770</v>
      </c>
      <c r="C721" s="81">
        <v>99</v>
      </c>
    </row>
    <row r="722" spans="1:3" x14ac:dyDescent="0.2">
      <c r="A722" s="90" t="s">
        <v>513</v>
      </c>
      <c r="B722" s="74" t="s">
        <v>770</v>
      </c>
      <c r="C722" s="81">
        <v>99</v>
      </c>
    </row>
    <row r="723" spans="1:3" x14ac:dyDescent="0.2">
      <c r="A723" s="90" t="s">
        <v>513</v>
      </c>
      <c r="B723" s="74" t="s">
        <v>770</v>
      </c>
      <c r="C723" s="81">
        <v>99</v>
      </c>
    </row>
    <row r="724" spans="1:3" x14ac:dyDescent="0.2">
      <c r="A724" s="90" t="s">
        <v>513</v>
      </c>
      <c r="B724" s="74" t="s">
        <v>771</v>
      </c>
      <c r="C724" s="81">
        <v>188.1</v>
      </c>
    </row>
    <row r="725" spans="1:3" x14ac:dyDescent="0.2">
      <c r="A725" s="90" t="s">
        <v>513</v>
      </c>
      <c r="B725" s="74" t="s">
        <v>771</v>
      </c>
      <c r="C725" s="81">
        <v>188.1</v>
      </c>
    </row>
    <row r="726" spans="1:3" x14ac:dyDescent="0.2">
      <c r="A726" s="90" t="s">
        <v>513</v>
      </c>
      <c r="B726" s="74" t="s">
        <v>771</v>
      </c>
      <c r="C726" s="81">
        <v>188.1</v>
      </c>
    </row>
    <row r="727" spans="1:3" x14ac:dyDescent="0.2">
      <c r="A727" s="90" t="s">
        <v>513</v>
      </c>
      <c r="B727" s="74" t="s">
        <v>772</v>
      </c>
      <c r="C727" s="81">
        <v>54</v>
      </c>
    </row>
    <row r="728" spans="1:3" x14ac:dyDescent="0.2">
      <c r="A728" s="90" t="s">
        <v>513</v>
      </c>
      <c r="B728" s="74" t="s">
        <v>772</v>
      </c>
      <c r="C728" s="81">
        <v>54</v>
      </c>
    </row>
    <row r="729" spans="1:3" x14ac:dyDescent="0.2">
      <c r="A729" s="90" t="s">
        <v>513</v>
      </c>
      <c r="B729" s="74" t="s">
        <v>772</v>
      </c>
      <c r="C729" s="81">
        <v>54</v>
      </c>
    </row>
    <row r="730" spans="1:3" x14ac:dyDescent="0.2">
      <c r="A730" s="90" t="s">
        <v>513</v>
      </c>
      <c r="B730" s="74" t="s">
        <v>773</v>
      </c>
      <c r="C730" s="81">
        <v>319.5</v>
      </c>
    </row>
    <row r="731" spans="1:3" x14ac:dyDescent="0.2">
      <c r="A731" s="90" t="s">
        <v>513</v>
      </c>
      <c r="B731" s="74" t="s">
        <v>773</v>
      </c>
      <c r="C731" s="81">
        <v>319.5</v>
      </c>
    </row>
    <row r="732" spans="1:3" x14ac:dyDescent="0.2">
      <c r="A732" s="90" t="s">
        <v>513</v>
      </c>
      <c r="B732" s="74" t="s">
        <v>773</v>
      </c>
      <c r="C732" s="81">
        <v>319.5</v>
      </c>
    </row>
    <row r="733" spans="1:3" x14ac:dyDescent="0.2">
      <c r="A733" s="90" t="s">
        <v>513</v>
      </c>
      <c r="B733" s="74" t="s">
        <v>773</v>
      </c>
      <c r="C733" s="81">
        <v>319.5</v>
      </c>
    </row>
    <row r="734" spans="1:3" x14ac:dyDescent="0.2">
      <c r="A734" s="90" t="s">
        <v>513</v>
      </c>
      <c r="B734" s="74" t="s">
        <v>774</v>
      </c>
      <c r="C734" s="81">
        <v>495</v>
      </c>
    </row>
    <row r="735" spans="1:3" x14ac:dyDescent="0.2">
      <c r="A735" s="90" t="s">
        <v>513</v>
      </c>
      <c r="B735" s="74" t="s">
        <v>775</v>
      </c>
      <c r="C735" s="81">
        <v>171</v>
      </c>
    </row>
    <row r="736" spans="1:3" x14ac:dyDescent="0.2">
      <c r="A736" s="90" t="s">
        <v>513</v>
      </c>
      <c r="B736" s="74" t="s">
        <v>775</v>
      </c>
      <c r="C736" s="81">
        <v>171</v>
      </c>
    </row>
    <row r="737" spans="1:3" x14ac:dyDescent="0.2">
      <c r="A737" s="90" t="s">
        <v>513</v>
      </c>
      <c r="B737" s="74" t="s">
        <v>775</v>
      </c>
      <c r="C737" s="81">
        <v>171</v>
      </c>
    </row>
    <row r="738" spans="1:3" x14ac:dyDescent="0.2">
      <c r="A738" s="90" t="s">
        <v>513</v>
      </c>
      <c r="B738" s="74" t="s">
        <v>776</v>
      </c>
      <c r="C738" s="81">
        <v>207</v>
      </c>
    </row>
    <row r="739" spans="1:3" x14ac:dyDescent="0.2">
      <c r="A739" s="90" t="s">
        <v>513</v>
      </c>
      <c r="B739" s="74" t="s">
        <v>776</v>
      </c>
      <c r="C739" s="81">
        <v>207</v>
      </c>
    </row>
    <row r="740" spans="1:3" x14ac:dyDescent="0.2">
      <c r="A740" s="90" t="s">
        <v>513</v>
      </c>
      <c r="B740" s="74" t="s">
        <v>776</v>
      </c>
      <c r="C740" s="81">
        <v>207</v>
      </c>
    </row>
    <row r="741" spans="1:3" x14ac:dyDescent="0.2">
      <c r="A741" s="90" t="s">
        <v>513</v>
      </c>
      <c r="B741" s="74" t="s">
        <v>777</v>
      </c>
      <c r="C741" s="81">
        <v>206.1</v>
      </c>
    </row>
    <row r="742" spans="1:3" x14ac:dyDescent="0.2">
      <c r="A742" s="90" t="s">
        <v>513</v>
      </c>
      <c r="B742" s="74" t="s">
        <v>777</v>
      </c>
      <c r="C742" s="81">
        <v>206.1</v>
      </c>
    </row>
    <row r="743" spans="1:3" x14ac:dyDescent="0.2">
      <c r="A743" s="90" t="s">
        <v>513</v>
      </c>
      <c r="B743" s="74" t="s">
        <v>777</v>
      </c>
      <c r="C743" s="81">
        <v>206.1</v>
      </c>
    </row>
    <row r="744" spans="1:3" x14ac:dyDescent="0.2">
      <c r="A744" s="90" t="s">
        <v>513</v>
      </c>
      <c r="B744" s="74" t="s">
        <v>777</v>
      </c>
      <c r="C744" s="81">
        <v>206.1</v>
      </c>
    </row>
    <row r="745" spans="1:3" x14ac:dyDescent="0.2">
      <c r="A745" s="90" t="s">
        <v>513</v>
      </c>
      <c r="B745" s="74" t="s">
        <v>778</v>
      </c>
      <c r="C745" s="81">
        <v>108</v>
      </c>
    </row>
    <row r="746" spans="1:3" x14ac:dyDescent="0.2">
      <c r="A746" s="90" t="s">
        <v>513</v>
      </c>
      <c r="B746" s="74" t="s">
        <v>778</v>
      </c>
      <c r="C746" s="81">
        <v>108</v>
      </c>
    </row>
    <row r="747" spans="1:3" x14ac:dyDescent="0.2">
      <c r="A747" s="90" t="s">
        <v>513</v>
      </c>
      <c r="B747" s="74" t="s">
        <v>779</v>
      </c>
      <c r="C747" s="81">
        <v>1125</v>
      </c>
    </row>
    <row r="748" spans="1:3" x14ac:dyDescent="0.2">
      <c r="A748" s="90" t="s">
        <v>513</v>
      </c>
      <c r="B748" s="74" t="s">
        <v>780</v>
      </c>
      <c r="C748" s="81">
        <v>187.2</v>
      </c>
    </row>
    <row r="749" spans="1:3" x14ac:dyDescent="0.2">
      <c r="A749" s="90" t="s">
        <v>513</v>
      </c>
      <c r="B749" s="74" t="s">
        <v>780</v>
      </c>
      <c r="C749" s="81">
        <v>187.2</v>
      </c>
    </row>
    <row r="750" spans="1:3" x14ac:dyDescent="0.2">
      <c r="A750" s="90" t="s">
        <v>513</v>
      </c>
      <c r="B750" s="74" t="s">
        <v>780</v>
      </c>
      <c r="C750" s="81">
        <v>187.2</v>
      </c>
    </row>
    <row r="751" spans="1:3" x14ac:dyDescent="0.2">
      <c r="A751" s="90" t="s">
        <v>513</v>
      </c>
      <c r="B751" s="74" t="s">
        <v>780</v>
      </c>
      <c r="C751" s="81">
        <v>187.2</v>
      </c>
    </row>
    <row r="752" spans="1:3" x14ac:dyDescent="0.2">
      <c r="A752" s="90" t="s">
        <v>513</v>
      </c>
      <c r="B752" s="74" t="s">
        <v>780</v>
      </c>
      <c r="C752" s="81">
        <v>187.2</v>
      </c>
    </row>
    <row r="753" spans="1:3" x14ac:dyDescent="0.2">
      <c r="A753" s="90" t="s">
        <v>513</v>
      </c>
      <c r="B753" s="74" t="s">
        <v>781</v>
      </c>
      <c r="C753" s="81">
        <v>268.2</v>
      </c>
    </row>
    <row r="754" spans="1:3" x14ac:dyDescent="0.2">
      <c r="A754" s="90" t="s">
        <v>513</v>
      </c>
      <c r="B754" s="74" t="s">
        <v>781</v>
      </c>
      <c r="C754" s="81">
        <v>268.2</v>
      </c>
    </row>
    <row r="755" spans="1:3" x14ac:dyDescent="0.2">
      <c r="A755" s="90" t="s">
        <v>513</v>
      </c>
      <c r="B755" s="74" t="s">
        <v>781</v>
      </c>
      <c r="C755" s="81">
        <v>268.2</v>
      </c>
    </row>
    <row r="756" spans="1:3" x14ac:dyDescent="0.2">
      <c r="A756" s="90" t="s">
        <v>513</v>
      </c>
      <c r="B756" s="74" t="s">
        <v>781</v>
      </c>
      <c r="C756" s="81">
        <v>268.2</v>
      </c>
    </row>
    <row r="757" spans="1:3" x14ac:dyDescent="0.2">
      <c r="A757" s="90" t="s">
        <v>513</v>
      </c>
      <c r="B757" s="74" t="s">
        <v>781</v>
      </c>
      <c r="C757" s="81">
        <v>268.2</v>
      </c>
    </row>
    <row r="758" spans="1:3" x14ac:dyDescent="0.2">
      <c r="A758" s="90" t="s">
        <v>513</v>
      </c>
      <c r="B758" s="74" t="s">
        <v>782</v>
      </c>
      <c r="C758" s="81">
        <v>142.19999999999999</v>
      </c>
    </row>
    <row r="759" spans="1:3" x14ac:dyDescent="0.2">
      <c r="A759" s="90" t="s">
        <v>513</v>
      </c>
      <c r="B759" s="74" t="s">
        <v>782</v>
      </c>
      <c r="C759" s="81">
        <v>142.19999999999999</v>
      </c>
    </row>
    <row r="760" spans="1:3" x14ac:dyDescent="0.2">
      <c r="A760" s="90" t="s">
        <v>513</v>
      </c>
      <c r="B760" s="74" t="s">
        <v>782</v>
      </c>
      <c r="C760" s="81">
        <v>142.19999999999999</v>
      </c>
    </row>
    <row r="761" spans="1:3" x14ac:dyDescent="0.2">
      <c r="A761" s="90" t="s">
        <v>513</v>
      </c>
      <c r="B761" s="74" t="s">
        <v>782</v>
      </c>
      <c r="C761" s="81">
        <v>142.19999999999999</v>
      </c>
    </row>
    <row r="762" spans="1:3" x14ac:dyDescent="0.2">
      <c r="A762" s="90" t="s">
        <v>513</v>
      </c>
      <c r="B762" s="74" t="s">
        <v>782</v>
      </c>
      <c r="C762" s="81">
        <v>142.19999999999999</v>
      </c>
    </row>
    <row r="763" spans="1:3" x14ac:dyDescent="0.2">
      <c r="A763" s="90" t="s">
        <v>513</v>
      </c>
      <c r="B763" s="74" t="s">
        <v>783</v>
      </c>
      <c r="C763" s="81">
        <v>160.19999999999999</v>
      </c>
    </row>
    <row r="764" spans="1:3" x14ac:dyDescent="0.2">
      <c r="A764" s="90" t="s">
        <v>513</v>
      </c>
      <c r="B764" s="74" t="s">
        <v>783</v>
      </c>
      <c r="C764" s="81">
        <v>160.19999999999999</v>
      </c>
    </row>
    <row r="765" spans="1:3" x14ac:dyDescent="0.2">
      <c r="A765" s="90" t="s">
        <v>513</v>
      </c>
      <c r="B765" s="74" t="s">
        <v>783</v>
      </c>
      <c r="C765" s="81">
        <v>160.19999999999999</v>
      </c>
    </row>
    <row r="766" spans="1:3" x14ac:dyDescent="0.2">
      <c r="A766" s="90" t="s">
        <v>513</v>
      </c>
      <c r="B766" s="74" t="s">
        <v>783</v>
      </c>
      <c r="C766" s="81">
        <v>160.19999999999999</v>
      </c>
    </row>
    <row r="767" spans="1:3" x14ac:dyDescent="0.2">
      <c r="A767" s="90" t="s">
        <v>513</v>
      </c>
      <c r="B767" s="74" t="s">
        <v>783</v>
      </c>
      <c r="C767" s="81">
        <v>160.19999999999999</v>
      </c>
    </row>
    <row r="768" spans="1:3" x14ac:dyDescent="0.2">
      <c r="A768" s="90" t="s">
        <v>513</v>
      </c>
      <c r="B768" s="74" t="s">
        <v>784</v>
      </c>
      <c r="C768" s="81">
        <v>223.2</v>
      </c>
    </row>
    <row r="769" spans="1:3" x14ac:dyDescent="0.2">
      <c r="A769" s="90" t="s">
        <v>513</v>
      </c>
      <c r="B769" s="74" t="s">
        <v>785</v>
      </c>
      <c r="C769" s="81">
        <v>232.2</v>
      </c>
    </row>
    <row r="770" spans="1:3" x14ac:dyDescent="0.2">
      <c r="A770" s="90" t="s">
        <v>513</v>
      </c>
      <c r="B770" s="74" t="s">
        <v>786</v>
      </c>
      <c r="C770" s="81">
        <v>241.2</v>
      </c>
    </row>
    <row r="771" spans="1:3" x14ac:dyDescent="0.2">
      <c r="A771" s="90" t="s">
        <v>513</v>
      </c>
      <c r="B771" s="74" t="s">
        <v>786</v>
      </c>
      <c r="C771" s="81">
        <v>241.2</v>
      </c>
    </row>
    <row r="772" spans="1:3" x14ac:dyDescent="0.2">
      <c r="A772" s="90" t="s">
        <v>513</v>
      </c>
      <c r="B772" s="74" t="s">
        <v>786</v>
      </c>
      <c r="C772" s="81">
        <v>241.2</v>
      </c>
    </row>
    <row r="773" spans="1:3" x14ac:dyDescent="0.2">
      <c r="A773" s="90" t="s">
        <v>513</v>
      </c>
      <c r="B773" s="74" t="s">
        <v>786</v>
      </c>
      <c r="C773" s="81">
        <v>241.2</v>
      </c>
    </row>
    <row r="774" spans="1:3" x14ac:dyDescent="0.2">
      <c r="A774" s="90" t="s">
        <v>513</v>
      </c>
      <c r="B774" s="74" t="s">
        <v>786</v>
      </c>
      <c r="C774" s="81">
        <v>241.2</v>
      </c>
    </row>
    <row r="775" spans="1:3" x14ac:dyDescent="0.2">
      <c r="A775" s="90" t="s">
        <v>513</v>
      </c>
      <c r="B775" s="74" t="s">
        <v>787</v>
      </c>
      <c r="C775" s="81">
        <v>180</v>
      </c>
    </row>
    <row r="776" spans="1:3" x14ac:dyDescent="0.2">
      <c r="A776" s="90" t="s">
        <v>513</v>
      </c>
      <c r="B776" s="74" t="s">
        <v>787</v>
      </c>
      <c r="C776" s="81">
        <v>180</v>
      </c>
    </row>
    <row r="777" spans="1:3" x14ac:dyDescent="0.2">
      <c r="A777" s="90" t="s">
        <v>513</v>
      </c>
      <c r="B777" s="74" t="s">
        <v>787</v>
      </c>
      <c r="C777" s="81">
        <v>180</v>
      </c>
    </row>
    <row r="778" spans="1:3" x14ac:dyDescent="0.2">
      <c r="A778" s="90" t="s">
        <v>513</v>
      </c>
      <c r="B778" s="74" t="s">
        <v>787</v>
      </c>
      <c r="C778" s="81">
        <v>180</v>
      </c>
    </row>
    <row r="779" spans="1:3" x14ac:dyDescent="0.2">
      <c r="A779" s="90" t="s">
        <v>513</v>
      </c>
      <c r="B779" s="74" t="s">
        <v>787</v>
      </c>
      <c r="C779" s="81">
        <v>180</v>
      </c>
    </row>
    <row r="780" spans="1:3" x14ac:dyDescent="0.2">
      <c r="A780" s="90" t="s">
        <v>513</v>
      </c>
      <c r="B780" s="74" t="s">
        <v>788</v>
      </c>
      <c r="C780" s="81">
        <v>223.2</v>
      </c>
    </row>
    <row r="781" spans="1:3" x14ac:dyDescent="0.2">
      <c r="A781" s="90" t="s">
        <v>513</v>
      </c>
      <c r="B781" s="74" t="s">
        <v>788</v>
      </c>
      <c r="C781" s="81">
        <v>223.2</v>
      </c>
    </row>
    <row r="782" spans="1:3" x14ac:dyDescent="0.2">
      <c r="A782" s="90" t="s">
        <v>513</v>
      </c>
      <c r="B782" s="74" t="s">
        <v>788</v>
      </c>
      <c r="C782" s="81">
        <v>223.2</v>
      </c>
    </row>
    <row r="783" spans="1:3" x14ac:dyDescent="0.2">
      <c r="A783" s="90" t="s">
        <v>513</v>
      </c>
      <c r="B783" s="74" t="s">
        <v>788</v>
      </c>
      <c r="C783" s="81">
        <v>223.2</v>
      </c>
    </row>
    <row r="784" spans="1:3" x14ac:dyDescent="0.2">
      <c r="A784" s="90" t="s">
        <v>513</v>
      </c>
      <c r="B784" s="74" t="s">
        <v>789</v>
      </c>
      <c r="C784" s="81">
        <v>180</v>
      </c>
    </row>
    <row r="785" spans="1:3" x14ac:dyDescent="0.2">
      <c r="A785" s="90" t="s">
        <v>513</v>
      </c>
      <c r="B785" s="74" t="s">
        <v>789</v>
      </c>
      <c r="C785" s="81">
        <v>180</v>
      </c>
    </row>
    <row r="786" spans="1:3" x14ac:dyDescent="0.2">
      <c r="A786" s="90" t="s">
        <v>513</v>
      </c>
      <c r="B786" s="74" t="s">
        <v>789</v>
      </c>
      <c r="C786" s="81">
        <v>180</v>
      </c>
    </row>
    <row r="787" spans="1:3" x14ac:dyDescent="0.2">
      <c r="A787" s="90" t="s">
        <v>513</v>
      </c>
      <c r="B787" s="74" t="s">
        <v>790</v>
      </c>
      <c r="C787" s="81">
        <v>180</v>
      </c>
    </row>
    <row r="788" spans="1:3" x14ac:dyDescent="0.2">
      <c r="A788" s="90" t="s">
        <v>513</v>
      </c>
      <c r="B788" s="74" t="s">
        <v>790</v>
      </c>
      <c r="C788" s="81">
        <v>180</v>
      </c>
    </row>
    <row r="789" spans="1:3" x14ac:dyDescent="0.2">
      <c r="A789" s="90" t="s">
        <v>513</v>
      </c>
      <c r="B789" s="74" t="s">
        <v>790</v>
      </c>
      <c r="C789" s="81">
        <v>180</v>
      </c>
    </row>
    <row r="790" spans="1:3" x14ac:dyDescent="0.2">
      <c r="A790" s="90" t="s">
        <v>513</v>
      </c>
      <c r="B790" s="74" t="s">
        <v>787</v>
      </c>
      <c r="C790" s="81">
        <v>180</v>
      </c>
    </row>
    <row r="791" spans="1:3" x14ac:dyDescent="0.2">
      <c r="A791" s="90" t="s">
        <v>513</v>
      </c>
      <c r="B791" s="74" t="s">
        <v>787</v>
      </c>
      <c r="C791" s="81">
        <v>180</v>
      </c>
    </row>
    <row r="792" spans="1:3" x14ac:dyDescent="0.2">
      <c r="A792" s="90" t="s">
        <v>513</v>
      </c>
      <c r="B792" s="74" t="s">
        <v>787</v>
      </c>
      <c r="C792" s="81">
        <v>180</v>
      </c>
    </row>
    <row r="793" spans="1:3" x14ac:dyDescent="0.2">
      <c r="A793" s="90" t="s">
        <v>513</v>
      </c>
      <c r="B793" s="74" t="s">
        <v>791</v>
      </c>
      <c r="C793" s="81">
        <v>765</v>
      </c>
    </row>
    <row r="794" spans="1:3" x14ac:dyDescent="0.2">
      <c r="A794" s="90" t="s">
        <v>513</v>
      </c>
      <c r="B794" s="74" t="s">
        <v>791</v>
      </c>
      <c r="C794" s="81">
        <v>765</v>
      </c>
    </row>
    <row r="795" spans="1:3" x14ac:dyDescent="0.2">
      <c r="A795" s="90" t="s">
        <v>513</v>
      </c>
      <c r="B795" s="74" t="s">
        <v>792</v>
      </c>
      <c r="C795" s="81">
        <v>46.95</v>
      </c>
    </row>
    <row r="796" spans="1:3" x14ac:dyDescent="0.2">
      <c r="A796" s="90" t="s">
        <v>513</v>
      </c>
      <c r="B796" s="74" t="s">
        <v>792</v>
      </c>
      <c r="C796" s="81">
        <v>46.95</v>
      </c>
    </row>
    <row r="797" spans="1:3" x14ac:dyDescent="0.2">
      <c r="A797" s="90" t="s">
        <v>513</v>
      </c>
      <c r="B797" s="74" t="s">
        <v>792</v>
      </c>
      <c r="C797" s="81">
        <v>46.95</v>
      </c>
    </row>
    <row r="798" spans="1:3" x14ac:dyDescent="0.2">
      <c r="A798" s="90" t="s">
        <v>513</v>
      </c>
      <c r="B798" s="74" t="s">
        <v>793</v>
      </c>
      <c r="C798" s="81">
        <v>46.95</v>
      </c>
    </row>
    <row r="799" spans="1:3" x14ac:dyDescent="0.2">
      <c r="A799" s="90" t="s">
        <v>513</v>
      </c>
      <c r="B799" s="74" t="s">
        <v>793</v>
      </c>
      <c r="C799" s="81">
        <v>46.95</v>
      </c>
    </row>
    <row r="800" spans="1:3" x14ac:dyDescent="0.2">
      <c r="A800" s="90" t="s">
        <v>513</v>
      </c>
      <c r="B800" s="74" t="s">
        <v>793</v>
      </c>
      <c r="C800" s="81">
        <v>46.95</v>
      </c>
    </row>
    <row r="801" spans="1:3" x14ac:dyDescent="0.2">
      <c r="A801" s="90" t="s">
        <v>513</v>
      </c>
      <c r="B801" s="74" t="s">
        <v>794</v>
      </c>
      <c r="C801" s="81">
        <v>78.260000000000005</v>
      </c>
    </row>
    <row r="802" spans="1:3" x14ac:dyDescent="0.2">
      <c r="A802" s="90" t="s">
        <v>513</v>
      </c>
      <c r="B802" s="74" t="s">
        <v>794</v>
      </c>
      <c r="C802" s="81">
        <v>78.260000000000005</v>
      </c>
    </row>
    <row r="803" spans="1:3" x14ac:dyDescent="0.2">
      <c r="A803" s="90" t="s">
        <v>513</v>
      </c>
      <c r="B803" s="74" t="s">
        <v>794</v>
      </c>
      <c r="C803" s="81">
        <v>78.260000000000005</v>
      </c>
    </row>
    <row r="804" spans="1:3" x14ac:dyDescent="0.2">
      <c r="A804" s="90" t="s">
        <v>513</v>
      </c>
      <c r="B804" s="74" t="s">
        <v>795</v>
      </c>
      <c r="C804" s="81">
        <v>135</v>
      </c>
    </row>
    <row r="805" spans="1:3" x14ac:dyDescent="0.2">
      <c r="A805" s="90" t="s">
        <v>513</v>
      </c>
      <c r="B805" s="74" t="s">
        <v>795</v>
      </c>
      <c r="C805" s="81">
        <v>135</v>
      </c>
    </row>
    <row r="806" spans="1:3" x14ac:dyDescent="0.2">
      <c r="A806" s="90" t="s">
        <v>513</v>
      </c>
      <c r="B806" s="74" t="s">
        <v>796</v>
      </c>
      <c r="C806" s="81">
        <v>247.5</v>
      </c>
    </row>
    <row r="807" spans="1:3" x14ac:dyDescent="0.2">
      <c r="A807" s="90" t="s">
        <v>513</v>
      </c>
      <c r="B807" s="74" t="s">
        <v>796</v>
      </c>
      <c r="C807" s="81">
        <v>247.5</v>
      </c>
    </row>
    <row r="808" spans="1:3" x14ac:dyDescent="0.2">
      <c r="A808" s="90" t="s">
        <v>513</v>
      </c>
      <c r="B808" s="74" t="s">
        <v>797</v>
      </c>
      <c r="C808" s="81">
        <v>180.9</v>
      </c>
    </row>
    <row r="809" spans="1:3" x14ac:dyDescent="0.2">
      <c r="A809" s="90" t="s">
        <v>513</v>
      </c>
      <c r="B809" s="74" t="s">
        <v>797</v>
      </c>
      <c r="C809" s="81">
        <v>180.9</v>
      </c>
    </row>
    <row r="810" spans="1:3" x14ac:dyDescent="0.2">
      <c r="A810" s="90" t="s">
        <v>513</v>
      </c>
      <c r="B810" s="74" t="s">
        <v>797</v>
      </c>
      <c r="C810" s="81">
        <v>180.9</v>
      </c>
    </row>
    <row r="811" spans="1:3" x14ac:dyDescent="0.2">
      <c r="A811" s="90" t="s">
        <v>513</v>
      </c>
      <c r="B811" s="74" t="s">
        <v>798</v>
      </c>
      <c r="C811" s="81">
        <v>324</v>
      </c>
    </row>
    <row r="812" spans="1:3" x14ac:dyDescent="0.2">
      <c r="A812" s="90" t="s">
        <v>513</v>
      </c>
      <c r="B812" s="74" t="s">
        <v>798</v>
      </c>
      <c r="C812" s="81">
        <v>324</v>
      </c>
    </row>
    <row r="813" spans="1:3" x14ac:dyDescent="0.2">
      <c r="A813" s="90" t="s">
        <v>513</v>
      </c>
      <c r="B813" s="74" t="s">
        <v>799</v>
      </c>
      <c r="C813" s="81">
        <v>241.2</v>
      </c>
    </row>
    <row r="814" spans="1:3" x14ac:dyDescent="0.2">
      <c r="A814" s="90" t="s">
        <v>513</v>
      </c>
      <c r="B814" s="74" t="s">
        <v>800</v>
      </c>
      <c r="C814" s="81">
        <v>116.1</v>
      </c>
    </row>
    <row r="815" spans="1:3" x14ac:dyDescent="0.2">
      <c r="A815" s="90" t="s">
        <v>513</v>
      </c>
      <c r="B815" s="74" t="s">
        <v>801</v>
      </c>
      <c r="C815" s="81">
        <v>116.1</v>
      </c>
    </row>
    <row r="816" spans="1:3" x14ac:dyDescent="0.2">
      <c r="A816" s="90" t="s">
        <v>513</v>
      </c>
      <c r="B816" s="74" t="s">
        <v>801</v>
      </c>
      <c r="C816" s="81">
        <v>116.1</v>
      </c>
    </row>
    <row r="817" spans="1:3" x14ac:dyDescent="0.2">
      <c r="A817" s="90" t="s">
        <v>513</v>
      </c>
      <c r="B817" s="74" t="s">
        <v>802</v>
      </c>
      <c r="C817" s="81">
        <v>115.2</v>
      </c>
    </row>
    <row r="818" spans="1:3" x14ac:dyDescent="0.2">
      <c r="A818" s="90" t="s">
        <v>513</v>
      </c>
      <c r="B818" s="74" t="s">
        <v>803</v>
      </c>
      <c r="C818" s="81">
        <v>223.2</v>
      </c>
    </row>
    <row r="819" spans="1:3" x14ac:dyDescent="0.2">
      <c r="A819" s="90" t="s">
        <v>513</v>
      </c>
      <c r="B819" s="74" t="s">
        <v>804</v>
      </c>
      <c r="C819" s="81">
        <v>232.2</v>
      </c>
    </row>
    <row r="820" spans="1:3" x14ac:dyDescent="0.2">
      <c r="A820" s="90" t="s">
        <v>513</v>
      </c>
      <c r="B820" s="74" t="s">
        <v>804</v>
      </c>
      <c r="C820" s="81">
        <v>232.2</v>
      </c>
    </row>
    <row r="821" spans="1:3" x14ac:dyDescent="0.2">
      <c r="A821" s="90" t="s">
        <v>513</v>
      </c>
      <c r="B821" s="74" t="s">
        <v>804</v>
      </c>
      <c r="C821" s="81">
        <v>232.2</v>
      </c>
    </row>
    <row r="822" spans="1:3" x14ac:dyDescent="0.2">
      <c r="A822" s="90" t="s">
        <v>513</v>
      </c>
      <c r="B822" s="74" t="s">
        <v>804</v>
      </c>
      <c r="C822" s="81">
        <v>232.2</v>
      </c>
    </row>
    <row r="823" spans="1:3" x14ac:dyDescent="0.2">
      <c r="A823" s="90" t="s">
        <v>513</v>
      </c>
      <c r="B823" s="74" t="s">
        <v>805</v>
      </c>
      <c r="C823" s="81">
        <v>241.2</v>
      </c>
    </row>
    <row r="824" spans="1:3" x14ac:dyDescent="0.2">
      <c r="A824" s="90" t="s">
        <v>513</v>
      </c>
      <c r="B824" s="74" t="s">
        <v>805</v>
      </c>
      <c r="C824" s="81">
        <v>241.2</v>
      </c>
    </row>
    <row r="825" spans="1:3" x14ac:dyDescent="0.2">
      <c r="A825" s="90" t="s">
        <v>513</v>
      </c>
      <c r="B825" s="74" t="s">
        <v>805</v>
      </c>
      <c r="C825" s="81">
        <v>241.2</v>
      </c>
    </row>
    <row r="826" spans="1:3" x14ac:dyDescent="0.2">
      <c r="A826" s="90" t="s">
        <v>513</v>
      </c>
      <c r="B826" s="74" t="s">
        <v>805</v>
      </c>
      <c r="C826" s="81">
        <v>241.2</v>
      </c>
    </row>
    <row r="827" spans="1:3" x14ac:dyDescent="0.2">
      <c r="A827" s="90" t="s">
        <v>513</v>
      </c>
      <c r="B827" s="74" t="s">
        <v>805</v>
      </c>
      <c r="C827" s="81">
        <v>241.2</v>
      </c>
    </row>
    <row r="828" spans="1:3" x14ac:dyDescent="0.2">
      <c r="A828" s="90" t="s">
        <v>513</v>
      </c>
      <c r="B828" s="74" t="s">
        <v>806</v>
      </c>
      <c r="C828" s="81">
        <v>46.95</v>
      </c>
    </row>
    <row r="829" spans="1:3" x14ac:dyDescent="0.2">
      <c r="A829" s="90" t="s">
        <v>513</v>
      </c>
      <c r="B829" s="74" t="s">
        <v>806</v>
      </c>
      <c r="C829" s="81">
        <v>46.95</v>
      </c>
    </row>
    <row r="830" spans="1:3" x14ac:dyDescent="0.2">
      <c r="A830" s="90" t="s">
        <v>513</v>
      </c>
      <c r="B830" s="74" t="s">
        <v>806</v>
      </c>
      <c r="C830" s="81">
        <v>46.95</v>
      </c>
    </row>
    <row r="831" spans="1:3" x14ac:dyDescent="0.2">
      <c r="A831" s="90" t="s">
        <v>513</v>
      </c>
      <c r="B831" s="74" t="s">
        <v>806</v>
      </c>
      <c r="C831" s="81">
        <v>46.95</v>
      </c>
    </row>
    <row r="832" spans="1:3" x14ac:dyDescent="0.2">
      <c r="A832" s="90" t="s">
        <v>513</v>
      </c>
      <c r="B832" s="74" t="s">
        <v>806</v>
      </c>
      <c r="C832" s="81">
        <v>46.95</v>
      </c>
    </row>
    <row r="833" spans="1:3" x14ac:dyDescent="0.2">
      <c r="A833" s="90" t="s">
        <v>513</v>
      </c>
      <c r="B833" s="74" t="s">
        <v>807</v>
      </c>
      <c r="C833" s="81">
        <v>372.6</v>
      </c>
    </row>
    <row r="834" spans="1:3" x14ac:dyDescent="0.2">
      <c r="A834" s="90" t="s">
        <v>513</v>
      </c>
      <c r="B834" s="74" t="s">
        <v>807</v>
      </c>
      <c r="C834" s="81">
        <v>372.6</v>
      </c>
    </row>
    <row r="835" spans="1:3" x14ac:dyDescent="0.2">
      <c r="A835" s="90" t="s">
        <v>513</v>
      </c>
      <c r="B835" s="74" t="s">
        <v>807</v>
      </c>
      <c r="C835" s="81">
        <v>372.6</v>
      </c>
    </row>
    <row r="836" spans="1:3" x14ac:dyDescent="0.2">
      <c r="A836" s="90" t="s">
        <v>513</v>
      </c>
      <c r="B836" s="74" t="s">
        <v>808</v>
      </c>
      <c r="C836" s="81">
        <v>301.5</v>
      </c>
    </row>
    <row r="837" spans="1:3" x14ac:dyDescent="0.2">
      <c r="A837" s="90" t="s">
        <v>513</v>
      </c>
      <c r="B837" s="74" t="s">
        <v>808</v>
      </c>
      <c r="C837" s="81">
        <v>301.5</v>
      </c>
    </row>
    <row r="838" spans="1:3" x14ac:dyDescent="0.2">
      <c r="A838" s="90" t="s">
        <v>513</v>
      </c>
      <c r="B838" s="74" t="s">
        <v>808</v>
      </c>
      <c r="C838" s="81">
        <v>301.5</v>
      </c>
    </row>
    <row r="839" spans="1:3" x14ac:dyDescent="0.2">
      <c r="A839" s="90" t="s">
        <v>513</v>
      </c>
      <c r="B839" s="74" t="s">
        <v>809</v>
      </c>
      <c r="C839" s="81">
        <v>1507.5</v>
      </c>
    </row>
    <row r="840" spans="1:3" x14ac:dyDescent="0.2">
      <c r="A840" s="90" t="s">
        <v>513</v>
      </c>
      <c r="B840" s="74" t="s">
        <v>809</v>
      </c>
      <c r="C840" s="81">
        <v>1507.5</v>
      </c>
    </row>
    <row r="841" spans="1:3" x14ac:dyDescent="0.2">
      <c r="A841" s="90" t="s">
        <v>513</v>
      </c>
      <c r="B841" s="74" t="s">
        <v>809</v>
      </c>
      <c r="C841" s="81">
        <v>1507.5</v>
      </c>
    </row>
    <row r="842" spans="1:3" x14ac:dyDescent="0.2">
      <c r="A842" s="90" t="s">
        <v>513</v>
      </c>
      <c r="B842" s="74" t="s">
        <v>810</v>
      </c>
      <c r="C842" s="81">
        <v>332.1</v>
      </c>
    </row>
    <row r="843" spans="1:3" x14ac:dyDescent="0.2">
      <c r="A843" s="90" t="s">
        <v>513</v>
      </c>
      <c r="B843" s="74" t="s">
        <v>810</v>
      </c>
      <c r="C843" s="81">
        <v>332.1</v>
      </c>
    </row>
    <row r="844" spans="1:3" x14ac:dyDescent="0.2">
      <c r="A844" s="90" t="s">
        <v>513</v>
      </c>
      <c r="B844" s="74" t="s">
        <v>810</v>
      </c>
      <c r="C844" s="81">
        <v>332.1</v>
      </c>
    </row>
    <row r="845" spans="1:3" x14ac:dyDescent="0.2">
      <c r="A845" s="90" t="s">
        <v>513</v>
      </c>
      <c r="B845" s="74" t="s">
        <v>811</v>
      </c>
      <c r="C845" s="81">
        <v>467.1</v>
      </c>
    </row>
    <row r="846" spans="1:3" x14ac:dyDescent="0.2">
      <c r="A846" s="90" t="s">
        <v>513</v>
      </c>
      <c r="B846" s="74" t="s">
        <v>811</v>
      </c>
      <c r="C846" s="81">
        <v>467.1</v>
      </c>
    </row>
    <row r="847" spans="1:3" x14ac:dyDescent="0.2">
      <c r="A847" s="90" t="s">
        <v>513</v>
      </c>
      <c r="B847" s="74" t="s">
        <v>811</v>
      </c>
      <c r="C847" s="81">
        <v>467.1</v>
      </c>
    </row>
    <row r="848" spans="1:3" x14ac:dyDescent="0.2">
      <c r="A848" s="90" t="s">
        <v>513</v>
      </c>
      <c r="B848" s="74" t="s">
        <v>812</v>
      </c>
      <c r="C848" s="81">
        <v>216</v>
      </c>
    </row>
    <row r="849" spans="1:3" x14ac:dyDescent="0.2">
      <c r="A849" s="90" t="s">
        <v>513</v>
      </c>
      <c r="B849" s="74" t="s">
        <v>812</v>
      </c>
      <c r="C849" s="81">
        <v>216</v>
      </c>
    </row>
    <row r="850" spans="1:3" x14ac:dyDescent="0.2">
      <c r="A850" s="90" t="s">
        <v>513</v>
      </c>
      <c r="B850" s="74" t="s">
        <v>812</v>
      </c>
      <c r="C850" s="81">
        <v>216</v>
      </c>
    </row>
    <row r="851" spans="1:3" x14ac:dyDescent="0.2">
      <c r="A851" s="90" t="s">
        <v>513</v>
      </c>
      <c r="B851" s="74" t="s">
        <v>813</v>
      </c>
      <c r="C851" s="81">
        <v>260.10000000000002</v>
      </c>
    </row>
    <row r="852" spans="1:3" x14ac:dyDescent="0.2">
      <c r="A852" s="90" t="s">
        <v>513</v>
      </c>
      <c r="B852" s="74" t="s">
        <v>813</v>
      </c>
      <c r="C852" s="81">
        <v>260.10000000000002</v>
      </c>
    </row>
    <row r="853" spans="1:3" x14ac:dyDescent="0.2">
      <c r="A853" s="90" t="s">
        <v>513</v>
      </c>
      <c r="B853" s="74" t="s">
        <v>813</v>
      </c>
      <c r="C853" s="81">
        <v>260.10000000000002</v>
      </c>
    </row>
    <row r="854" spans="1:3" x14ac:dyDescent="0.2">
      <c r="A854" s="90" t="s">
        <v>513</v>
      </c>
      <c r="B854" s="74" t="s">
        <v>814</v>
      </c>
      <c r="C854" s="81">
        <v>88.2</v>
      </c>
    </row>
    <row r="855" spans="1:3" x14ac:dyDescent="0.2">
      <c r="A855" s="90" t="s">
        <v>513</v>
      </c>
      <c r="B855" s="74" t="s">
        <v>814</v>
      </c>
      <c r="C855" s="81">
        <v>88.2</v>
      </c>
    </row>
    <row r="856" spans="1:3" x14ac:dyDescent="0.2">
      <c r="A856" s="90" t="s">
        <v>513</v>
      </c>
      <c r="B856" s="74" t="s">
        <v>814</v>
      </c>
      <c r="C856" s="81">
        <v>88.2</v>
      </c>
    </row>
    <row r="857" spans="1:3" x14ac:dyDescent="0.2">
      <c r="A857" s="90" t="s">
        <v>513</v>
      </c>
      <c r="B857" s="74" t="s">
        <v>815</v>
      </c>
      <c r="C857" s="81">
        <v>243</v>
      </c>
    </row>
    <row r="858" spans="1:3" x14ac:dyDescent="0.2">
      <c r="A858" s="90" t="s">
        <v>513</v>
      </c>
      <c r="B858" s="74" t="s">
        <v>815</v>
      </c>
      <c r="C858" s="81">
        <v>243</v>
      </c>
    </row>
    <row r="859" spans="1:3" x14ac:dyDescent="0.2">
      <c r="A859" s="90" t="s">
        <v>513</v>
      </c>
      <c r="B859" s="74" t="s">
        <v>815</v>
      </c>
      <c r="C859" s="81">
        <v>243</v>
      </c>
    </row>
    <row r="860" spans="1:3" x14ac:dyDescent="0.2">
      <c r="A860" s="90" t="s">
        <v>513</v>
      </c>
      <c r="B860" s="74" t="s">
        <v>816</v>
      </c>
      <c r="C860" s="81">
        <v>162</v>
      </c>
    </row>
    <row r="861" spans="1:3" x14ac:dyDescent="0.2">
      <c r="A861" s="90" t="s">
        <v>513</v>
      </c>
      <c r="B861" s="74" t="s">
        <v>816</v>
      </c>
      <c r="C861" s="81">
        <v>162</v>
      </c>
    </row>
    <row r="862" spans="1:3" x14ac:dyDescent="0.2">
      <c r="A862" s="90" t="s">
        <v>513</v>
      </c>
      <c r="B862" s="74" t="s">
        <v>816</v>
      </c>
      <c r="C862" s="81">
        <v>162</v>
      </c>
    </row>
    <row r="863" spans="1:3" x14ac:dyDescent="0.2">
      <c r="A863" s="90" t="s">
        <v>513</v>
      </c>
      <c r="B863" s="74" t="s">
        <v>817</v>
      </c>
      <c r="C863" s="81">
        <v>211.5</v>
      </c>
    </row>
    <row r="864" spans="1:3" x14ac:dyDescent="0.2">
      <c r="A864" s="90" t="s">
        <v>513</v>
      </c>
      <c r="B864" s="74" t="s">
        <v>817</v>
      </c>
      <c r="C864" s="81">
        <v>211.5</v>
      </c>
    </row>
    <row r="865" spans="1:3" x14ac:dyDescent="0.2">
      <c r="A865" s="90" t="s">
        <v>513</v>
      </c>
      <c r="B865" s="74" t="s">
        <v>817</v>
      </c>
      <c r="C865" s="81">
        <v>211.5</v>
      </c>
    </row>
    <row r="866" spans="1:3" x14ac:dyDescent="0.2">
      <c r="A866" s="90" t="s">
        <v>513</v>
      </c>
      <c r="B866" s="74" t="s">
        <v>575</v>
      </c>
      <c r="C866" s="81">
        <v>314.10000000000002</v>
      </c>
    </row>
    <row r="867" spans="1:3" x14ac:dyDescent="0.2">
      <c r="A867" s="90" t="s">
        <v>513</v>
      </c>
      <c r="B867" s="74" t="s">
        <v>575</v>
      </c>
      <c r="C867" s="81">
        <v>314.10000000000002</v>
      </c>
    </row>
    <row r="868" spans="1:3" x14ac:dyDescent="0.2">
      <c r="A868" s="90" t="s">
        <v>513</v>
      </c>
      <c r="B868" s="74" t="s">
        <v>575</v>
      </c>
      <c r="C868" s="81">
        <v>314.10000000000002</v>
      </c>
    </row>
    <row r="869" spans="1:3" x14ac:dyDescent="0.2">
      <c r="A869" s="90" t="s">
        <v>513</v>
      </c>
      <c r="B869" s="74" t="s">
        <v>575</v>
      </c>
      <c r="C869" s="81">
        <v>251.1</v>
      </c>
    </row>
    <row r="870" spans="1:3" x14ac:dyDescent="0.2">
      <c r="A870" s="90" t="s">
        <v>513</v>
      </c>
      <c r="B870" s="74" t="s">
        <v>575</v>
      </c>
      <c r="C870" s="81">
        <v>251.1</v>
      </c>
    </row>
    <row r="871" spans="1:3" x14ac:dyDescent="0.2">
      <c r="A871" s="90" t="s">
        <v>513</v>
      </c>
      <c r="B871" s="74" t="s">
        <v>575</v>
      </c>
      <c r="C871" s="81">
        <v>251.1</v>
      </c>
    </row>
    <row r="872" spans="1:3" x14ac:dyDescent="0.2">
      <c r="A872" s="90" t="s">
        <v>513</v>
      </c>
      <c r="B872" s="74" t="s">
        <v>722</v>
      </c>
      <c r="C872" s="81">
        <v>175.5</v>
      </c>
    </row>
    <row r="873" spans="1:3" x14ac:dyDescent="0.2">
      <c r="A873" s="90" t="s">
        <v>513</v>
      </c>
      <c r="B873" s="74" t="s">
        <v>722</v>
      </c>
      <c r="C873" s="81">
        <v>175.5</v>
      </c>
    </row>
    <row r="874" spans="1:3" x14ac:dyDescent="0.2">
      <c r="A874" s="90" t="s">
        <v>513</v>
      </c>
      <c r="B874" s="74" t="s">
        <v>722</v>
      </c>
      <c r="C874" s="81">
        <v>175.5</v>
      </c>
    </row>
    <row r="875" spans="1:3" x14ac:dyDescent="0.2">
      <c r="A875" s="90" t="s">
        <v>513</v>
      </c>
      <c r="B875" s="74" t="s">
        <v>818</v>
      </c>
      <c r="C875" s="81">
        <v>310.5</v>
      </c>
    </row>
    <row r="876" spans="1:3" x14ac:dyDescent="0.2">
      <c r="A876" s="90" t="s">
        <v>513</v>
      </c>
      <c r="B876" s="74" t="s">
        <v>818</v>
      </c>
      <c r="C876" s="81">
        <v>310.5</v>
      </c>
    </row>
    <row r="877" spans="1:3" x14ac:dyDescent="0.2">
      <c r="A877" s="90" t="s">
        <v>513</v>
      </c>
      <c r="B877" s="74" t="s">
        <v>818</v>
      </c>
      <c r="C877" s="81">
        <v>310.5</v>
      </c>
    </row>
    <row r="878" spans="1:3" x14ac:dyDescent="0.2">
      <c r="A878" s="90" t="s">
        <v>513</v>
      </c>
      <c r="B878" s="74" t="s">
        <v>819</v>
      </c>
      <c r="C878" s="81">
        <v>274.5</v>
      </c>
    </row>
    <row r="879" spans="1:3" x14ac:dyDescent="0.2">
      <c r="A879" s="90" t="s">
        <v>513</v>
      </c>
      <c r="B879" s="74" t="s">
        <v>819</v>
      </c>
      <c r="C879" s="81">
        <v>274.5</v>
      </c>
    </row>
    <row r="880" spans="1:3" x14ac:dyDescent="0.2">
      <c r="A880" s="90" t="s">
        <v>513</v>
      </c>
      <c r="B880" s="74" t="s">
        <v>819</v>
      </c>
      <c r="C880" s="81">
        <v>274.5</v>
      </c>
    </row>
    <row r="881" spans="1:3" x14ac:dyDescent="0.2">
      <c r="A881" s="90" t="s">
        <v>513</v>
      </c>
      <c r="B881" s="74" t="s">
        <v>820</v>
      </c>
      <c r="C881" s="81">
        <v>58.5</v>
      </c>
    </row>
    <row r="882" spans="1:3" x14ac:dyDescent="0.2">
      <c r="A882" s="90" t="s">
        <v>513</v>
      </c>
      <c r="B882" s="74" t="s">
        <v>820</v>
      </c>
      <c r="C882" s="81">
        <v>58.5</v>
      </c>
    </row>
    <row r="883" spans="1:3" x14ac:dyDescent="0.2">
      <c r="A883" s="90" t="s">
        <v>513</v>
      </c>
      <c r="B883" s="74" t="s">
        <v>820</v>
      </c>
      <c r="C883" s="81">
        <v>58.5</v>
      </c>
    </row>
    <row r="884" spans="1:3" x14ac:dyDescent="0.2">
      <c r="A884" s="90" t="s">
        <v>513</v>
      </c>
      <c r="B884" s="74" t="s">
        <v>821</v>
      </c>
      <c r="C884" s="81">
        <v>58.5</v>
      </c>
    </row>
    <row r="885" spans="1:3" x14ac:dyDescent="0.2">
      <c r="A885" s="90" t="s">
        <v>513</v>
      </c>
      <c r="B885" s="74" t="s">
        <v>821</v>
      </c>
      <c r="C885" s="81">
        <v>58.5</v>
      </c>
    </row>
    <row r="886" spans="1:3" x14ac:dyDescent="0.2">
      <c r="A886" s="90" t="s">
        <v>513</v>
      </c>
      <c r="B886" s="74" t="s">
        <v>821</v>
      </c>
      <c r="C886" s="81">
        <v>58.5</v>
      </c>
    </row>
    <row r="887" spans="1:3" x14ac:dyDescent="0.2">
      <c r="A887" s="90" t="s">
        <v>513</v>
      </c>
      <c r="B887" s="74" t="s">
        <v>822</v>
      </c>
      <c r="C887" s="81">
        <v>85.5</v>
      </c>
    </row>
    <row r="888" spans="1:3" x14ac:dyDescent="0.2">
      <c r="A888" s="90" t="s">
        <v>513</v>
      </c>
      <c r="B888" s="74" t="s">
        <v>822</v>
      </c>
      <c r="C888" s="81">
        <v>85.5</v>
      </c>
    </row>
    <row r="889" spans="1:3" x14ac:dyDescent="0.2">
      <c r="A889" s="90" t="s">
        <v>513</v>
      </c>
      <c r="B889" s="74" t="s">
        <v>822</v>
      </c>
      <c r="C889" s="81">
        <v>85.5</v>
      </c>
    </row>
    <row r="890" spans="1:3" x14ac:dyDescent="0.2">
      <c r="A890" s="90" t="s">
        <v>513</v>
      </c>
      <c r="B890" s="74" t="s">
        <v>599</v>
      </c>
      <c r="C890" s="81">
        <v>139.5</v>
      </c>
    </row>
    <row r="891" spans="1:3" x14ac:dyDescent="0.2">
      <c r="A891" s="90" t="s">
        <v>513</v>
      </c>
      <c r="B891" s="74" t="s">
        <v>599</v>
      </c>
      <c r="C891" s="81">
        <v>139.5</v>
      </c>
    </row>
    <row r="892" spans="1:3" x14ac:dyDescent="0.2">
      <c r="A892" s="90" t="s">
        <v>513</v>
      </c>
      <c r="B892" s="74" t="s">
        <v>599</v>
      </c>
      <c r="C892" s="81">
        <v>139.5</v>
      </c>
    </row>
    <row r="893" spans="1:3" x14ac:dyDescent="0.2">
      <c r="A893" s="90" t="s">
        <v>513</v>
      </c>
      <c r="B893" s="74" t="s">
        <v>823</v>
      </c>
      <c r="C893" s="81">
        <v>161.1</v>
      </c>
    </row>
    <row r="894" spans="1:3" x14ac:dyDescent="0.2">
      <c r="A894" s="90" t="s">
        <v>513</v>
      </c>
      <c r="B894" s="74" t="s">
        <v>823</v>
      </c>
      <c r="C894" s="81">
        <v>161.1</v>
      </c>
    </row>
    <row r="895" spans="1:3" x14ac:dyDescent="0.2">
      <c r="A895" s="90" t="s">
        <v>513</v>
      </c>
      <c r="B895" s="74" t="s">
        <v>823</v>
      </c>
      <c r="C895" s="81">
        <v>161.1</v>
      </c>
    </row>
    <row r="896" spans="1:3" x14ac:dyDescent="0.2">
      <c r="A896" s="90" t="s">
        <v>513</v>
      </c>
      <c r="B896" s="74" t="s">
        <v>824</v>
      </c>
      <c r="C896" s="81">
        <v>306</v>
      </c>
    </row>
    <row r="897" spans="1:3" x14ac:dyDescent="0.2">
      <c r="A897" s="90" t="s">
        <v>513</v>
      </c>
      <c r="B897" s="74" t="s">
        <v>824</v>
      </c>
      <c r="C897" s="81">
        <v>306</v>
      </c>
    </row>
    <row r="898" spans="1:3" x14ac:dyDescent="0.2">
      <c r="A898" s="90" t="s">
        <v>513</v>
      </c>
      <c r="B898" s="74" t="s">
        <v>824</v>
      </c>
      <c r="C898" s="81">
        <v>306</v>
      </c>
    </row>
    <row r="899" spans="1:3" x14ac:dyDescent="0.2">
      <c r="A899" s="90" t="s">
        <v>513</v>
      </c>
      <c r="B899" s="74" t="s">
        <v>825</v>
      </c>
      <c r="C899" s="81">
        <v>315</v>
      </c>
    </row>
    <row r="900" spans="1:3" x14ac:dyDescent="0.2">
      <c r="A900" s="90" t="s">
        <v>513</v>
      </c>
      <c r="B900" s="74" t="s">
        <v>825</v>
      </c>
      <c r="C900" s="81">
        <v>315</v>
      </c>
    </row>
    <row r="901" spans="1:3" x14ac:dyDescent="0.2">
      <c r="A901" s="90" t="s">
        <v>513</v>
      </c>
      <c r="B901" s="74" t="s">
        <v>825</v>
      </c>
      <c r="C901" s="81">
        <v>315</v>
      </c>
    </row>
    <row r="902" spans="1:3" x14ac:dyDescent="0.2">
      <c r="A902" s="90" t="s">
        <v>513</v>
      </c>
      <c r="B902" s="74" t="s">
        <v>826</v>
      </c>
      <c r="C902" s="81">
        <v>312.3</v>
      </c>
    </row>
    <row r="903" spans="1:3" x14ac:dyDescent="0.2">
      <c r="A903" s="90" t="s">
        <v>513</v>
      </c>
      <c r="B903" s="74" t="s">
        <v>826</v>
      </c>
      <c r="C903" s="81">
        <v>312.3</v>
      </c>
    </row>
    <row r="904" spans="1:3" x14ac:dyDescent="0.2">
      <c r="A904" s="90" t="s">
        <v>513</v>
      </c>
      <c r="B904" s="74" t="s">
        <v>827</v>
      </c>
      <c r="C904" s="81">
        <v>179.1</v>
      </c>
    </row>
    <row r="905" spans="1:3" x14ac:dyDescent="0.2">
      <c r="A905" s="90" t="s">
        <v>513</v>
      </c>
      <c r="B905" s="74" t="s">
        <v>828</v>
      </c>
      <c r="C905" s="81">
        <v>207</v>
      </c>
    </row>
    <row r="906" spans="1:3" x14ac:dyDescent="0.2">
      <c r="A906" s="90" t="s">
        <v>513</v>
      </c>
      <c r="B906" s="74" t="s">
        <v>828</v>
      </c>
      <c r="C906" s="81">
        <v>207</v>
      </c>
    </row>
    <row r="907" spans="1:3" x14ac:dyDescent="0.2">
      <c r="A907" s="90" t="s">
        <v>513</v>
      </c>
      <c r="B907" s="74" t="s">
        <v>828</v>
      </c>
      <c r="C907" s="81">
        <v>207</v>
      </c>
    </row>
    <row r="908" spans="1:3" x14ac:dyDescent="0.2">
      <c r="A908" s="90" t="s">
        <v>513</v>
      </c>
      <c r="B908" s="74" t="s">
        <v>695</v>
      </c>
      <c r="C908" s="81">
        <v>332.1</v>
      </c>
    </row>
    <row r="909" spans="1:3" x14ac:dyDescent="0.2">
      <c r="A909" s="90" t="s">
        <v>513</v>
      </c>
      <c r="B909" s="74" t="s">
        <v>695</v>
      </c>
      <c r="C909" s="81">
        <v>332.1</v>
      </c>
    </row>
    <row r="910" spans="1:3" x14ac:dyDescent="0.2">
      <c r="A910" s="90" t="s">
        <v>513</v>
      </c>
      <c r="B910" s="74" t="s">
        <v>695</v>
      </c>
      <c r="C910" s="81">
        <v>332.1</v>
      </c>
    </row>
    <row r="911" spans="1:3" x14ac:dyDescent="0.2">
      <c r="A911" s="90" t="s">
        <v>513</v>
      </c>
      <c r="B911" s="74" t="s">
        <v>829</v>
      </c>
      <c r="C911" s="81">
        <v>278.10000000000002</v>
      </c>
    </row>
    <row r="912" spans="1:3" x14ac:dyDescent="0.2">
      <c r="A912" s="90" t="s">
        <v>513</v>
      </c>
      <c r="B912" s="74" t="s">
        <v>829</v>
      </c>
      <c r="C912" s="81">
        <v>278.10000000000002</v>
      </c>
    </row>
    <row r="913" spans="1:3" x14ac:dyDescent="0.2">
      <c r="A913" s="90" t="s">
        <v>513</v>
      </c>
      <c r="B913" s="74" t="s">
        <v>829</v>
      </c>
      <c r="C913" s="81">
        <v>278.10000000000002</v>
      </c>
    </row>
    <row r="914" spans="1:3" x14ac:dyDescent="0.2">
      <c r="A914" s="90" t="s">
        <v>513</v>
      </c>
      <c r="B914" s="74" t="s">
        <v>830</v>
      </c>
      <c r="C914" s="81">
        <v>242.1</v>
      </c>
    </row>
    <row r="915" spans="1:3" x14ac:dyDescent="0.2">
      <c r="A915" s="90" t="s">
        <v>513</v>
      </c>
      <c r="B915" s="74" t="s">
        <v>830</v>
      </c>
      <c r="C915" s="81">
        <v>242.1</v>
      </c>
    </row>
    <row r="916" spans="1:3" x14ac:dyDescent="0.2">
      <c r="A916" s="90" t="s">
        <v>513</v>
      </c>
      <c r="B916" s="74" t="s">
        <v>830</v>
      </c>
      <c r="C916" s="81">
        <v>242.1</v>
      </c>
    </row>
    <row r="917" spans="1:3" x14ac:dyDescent="0.2">
      <c r="A917" s="90" t="s">
        <v>513</v>
      </c>
      <c r="B917" s="74" t="s">
        <v>831</v>
      </c>
      <c r="C917" s="81">
        <v>270</v>
      </c>
    </row>
    <row r="918" spans="1:3" x14ac:dyDescent="0.2">
      <c r="A918" s="90" t="s">
        <v>513</v>
      </c>
      <c r="B918" s="74" t="s">
        <v>831</v>
      </c>
      <c r="C918" s="81">
        <v>270</v>
      </c>
    </row>
    <row r="919" spans="1:3" x14ac:dyDescent="0.2">
      <c r="A919" s="90" t="s">
        <v>513</v>
      </c>
      <c r="B919" s="74" t="s">
        <v>831</v>
      </c>
      <c r="C919" s="81">
        <v>270</v>
      </c>
    </row>
    <row r="920" spans="1:3" x14ac:dyDescent="0.2">
      <c r="A920" s="90" t="s">
        <v>513</v>
      </c>
      <c r="B920" s="74" t="s">
        <v>743</v>
      </c>
      <c r="C920" s="81">
        <v>318.60000000000002</v>
      </c>
    </row>
    <row r="921" spans="1:3" x14ac:dyDescent="0.2">
      <c r="A921" s="90" t="s">
        <v>513</v>
      </c>
      <c r="B921" s="74" t="s">
        <v>743</v>
      </c>
      <c r="C921" s="81">
        <v>318.60000000000002</v>
      </c>
    </row>
    <row r="922" spans="1:3" x14ac:dyDescent="0.2">
      <c r="A922" s="90" t="s">
        <v>513</v>
      </c>
      <c r="B922" s="74" t="s">
        <v>743</v>
      </c>
      <c r="C922" s="81">
        <v>318.60000000000002</v>
      </c>
    </row>
    <row r="923" spans="1:3" x14ac:dyDescent="0.2">
      <c r="A923" s="90" t="s">
        <v>513</v>
      </c>
      <c r="B923" s="74" t="s">
        <v>832</v>
      </c>
      <c r="C923" s="81">
        <v>291.60000000000002</v>
      </c>
    </row>
    <row r="924" spans="1:3" x14ac:dyDescent="0.2">
      <c r="A924" s="90" t="s">
        <v>513</v>
      </c>
      <c r="B924" s="74" t="s">
        <v>832</v>
      </c>
      <c r="C924" s="81">
        <v>291.60000000000002</v>
      </c>
    </row>
    <row r="925" spans="1:3" x14ac:dyDescent="0.2">
      <c r="A925" s="90" t="s">
        <v>513</v>
      </c>
      <c r="B925" s="74" t="s">
        <v>832</v>
      </c>
      <c r="C925" s="81">
        <v>291.60000000000002</v>
      </c>
    </row>
    <row r="926" spans="1:3" x14ac:dyDescent="0.2">
      <c r="A926" s="90" t="s">
        <v>513</v>
      </c>
      <c r="B926" s="74" t="s">
        <v>833</v>
      </c>
      <c r="C926" s="81">
        <v>162</v>
      </c>
    </row>
    <row r="927" spans="1:3" x14ac:dyDescent="0.2">
      <c r="A927" s="90" t="s">
        <v>513</v>
      </c>
      <c r="B927" s="74" t="s">
        <v>833</v>
      </c>
      <c r="C927" s="81">
        <v>162</v>
      </c>
    </row>
    <row r="928" spans="1:3" x14ac:dyDescent="0.2">
      <c r="A928" s="90" t="s">
        <v>513</v>
      </c>
      <c r="B928" s="74" t="s">
        <v>833</v>
      </c>
      <c r="C928" s="81">
        <v>162</v>
      </c>
    </row>
    <row r="929" spans="1:3" x14ac:dyDescent="0.2">
      <c r="A929" s="90" t="s">
        <v>513</v>
      </c>
      <c r="B929" s="74" t="s">
        <v>834</v>
      </c>
      <c r="C929" s="81">
        <v>243</v>
      </c>
    </row>
    <row r="930" spans="1:3" x14ac:dyDescent="0.2">
      <c r="A930" s="90" t="s">
        <v>513</v>
      </c>
      <c r="B930" s="74" t="s">
        <v>834</v>
      </c>
      <c r="C930" s="81">
        <v>243</v>
      </c>
    </row>
    <row r="931" spans="1:3" x14ac:dyDescent="0.2">
      <c r="A931" s="90" t="s">
        <v>513</v>
      </c>
      <c r="B931" s="74" t="s">
        <v>834</v>
      </c>
      <c r="C931" s="81">
        <v>243</v>
      </c>
    </row>
    <row r="932" spans="1:3" x14ac:dyDescent="0.2">
      <c r="A932" s="90" t="s">
        <v>513</v>
      </c>
      <c r="B932" s="74" t="s">
        <v>835</v>
      </c>
      <c r="C932" s="81">
        <v>80.099999999999994</v>
      </c>
    </row>
    <row r="933" spans="1:3" x14ac:dyDescent="0.2">
      <c r="A933" s="90" t="s">
        <v>513</v>
      </c>
      <c r="B933" s="74" t="s">
        <v>835</v>
      </c>
      <c r="C933" s="81">
        <v>80.099999999999994</v>
      </c>
    </row>
    <row r="934" spans="1:3" x14ac:dyDescent="0.2">
      <c r="A934" s="90" t="s">
        <v>513</v>
      </c>
      <c r="B934" s="74" t="s">
        <v>835</v>
      </c>
      <c r="C934" s="81">
        <v>80.099999999999994</v>
      </c>
    </row>
    <row r="935" spans="1:3" x14ac:dyDescent="0.2">
      <c r="A935" s="90" t="s">
        <v>513</v>
      </c>
      <c r="B935" s="74" t="s">
        <v>690</v>
      </c>
      <c r="C935" s="81">
        <v>162</v>
      </c>
    </row>
    <row r="936" spans="1:3" x14ac:dyDescent="0.2">
      <c r="A936" s="90" t="s">
        <v>513</v>
      </c>
      <c r="B936" s="74" t="s">
        <v>690</v>
      </c>
      <c r="C936" s="81">
        <v>162</v>
      </c>
    </row>
    <row r="937" spans="1:3" x14ac:dyDescent="0.2">
      <c r="A937" s="90" t="s">
        <v>513</v>
      </c>
      <c r="B937" s="74" t="s">
        <v>690</v>
      </c>
      <c r="C937" s="81">
        <v>162</v>
      </c>
    </row>
    <row r="938" spans="1:3" x14ac:dyDescent="0.2">
      <c r="A938" s="90" t="s">
        <v>513</v>
      </c>
      <c r="B938" s="74" t="s">
        <v>836</v>
      </c>
      <c r="C938" s="81">
        <v>220.5</v>
      </c>
    </row>
    <row r="939" spans="1:3" x14ac:dyDescent="0.2">
      <c r="A939" s="90" t="s">
        <v>513</v>
      </c>
      <c r="B939" s="74" t="s">
        <v>836</v>
      </c>
      <c r="C939" s="81">
        <v>220.5</v>
      </c>
    </row>
    <row r="940" spans="1:3" x14ac:dyDescent="0.2">
      <c r="A940" s="90" t="s">
        <v>513</v>
      </c>
      <c r="B940" s="74" t="s">
        <v>836</v>
      </c>
      <c r="C940" s="81">
        <v>220.5</v>
      </c>
    </row>
    <row r="941" spans="1:3" x14ac:dyDescent="0.2">
      <c r="A941" s="90" t="s">
        <v>513</v>
      </c>
      <c r="B941" s="74" t="s">
        <v>744</v>
      </c>
      <c r="C941" s="81">
        <v>252</v>
      </c>
    </row>
    <row r="942" spans="1:3" x14ac:dyDescent="0.2">
      <c r="A942" s="90" t="s">
        <v>513</v>
      </c>
      <c r="B942" s="74" t="s">
        <v>744</v>
      </c>
      <c r="C942" s="81">
        <v>252</v>
      </c>
    </row>
    <row r="943" spans="1:3" x14ac:dyDescent="0.2">
      <c r="A943" s="90" t="s">
        <v>513</v>
      </c>
      <c r="B943" s="74" t="s">
        <v>744</v>
      </c>
      <c r="C943" s="81">
        <v>252</v>
      </c>
    </row>
    <row r="944" spans="1:3" x14ac:dyDescent="0.2">
      <c r="A944" s="90" t="s">
        <v>513</v>
      </c>
      <c r="B944" s="74" t="s">
        <v>837</v>
      </c>
      <c r="C944" s="81">
        <v>832.5</v>
      </c>
    </row>
    <row r="945" spans="1:3" x14ac:dyDescent="0.2">
      <c r="A945" s="90" t="s">
        <v>513</v>
      </c>
      <c r="B945" s="74" t="s">
        <v>837</v>
      </c>
      <c r="C945" s="81">
        <v>832.5</v>
      </c>
    </row>
    <row r="946" spans="1:3" x14ac:dyDescent="0.2">
      <c r="A946" s="90" t="s">
        <v>513</v>
      </c>
      <c r="B946" s="74" t="s">
        <v>837</v>
      </c>
      <c r="C946" s="81">
        <v>832.5</v>
      </c>
    </row>
    <row r="947" spans="1:3" x14ac:dyDescent="0.2">
      <c r="A947" s="90" t="s">
        <v>513</v>
      </c>
      <c r="B947" s="74" t="s">
        <v>838</v>
      </c>
      <c r="C947" s="81">
        <v>666</v>
      </c>
    </row>
    <row r="948" spans="1:3" x14ac:dyDescent="0.2">
      <c r="A948" s="90" t="s">
        <v>513</v>
      </c>
      <c r="B948" s="74" t="s">
        <v>839</v>
      </c>
      <c r="C948" s="81">
        <v>81</v>
      </c>
    </row>
    <row r="949" spans="1:3" x14ac:dyDescent="0.2">
      <c r="A949" s="90" t="s">
        <v>513</v>
      </c>
      <c r="B949" s="74" t="s">
        <v>839</v>
      </c>
      <c r="C949" s="81">
        <v>81</v>
      </c>
    </row>
    <row r="950" spans="1:3" x14ac:dyDescent="0.2">
      <c r="A950" s="90" t="s">
        <v>513</v>
      </c>
      <c r="B950" s="74" t="s">
        <v>839</v>
      </c>
      <c r="C950" s="81">
        <v>81</v>
      </c>
    </row>
    <row r="951" spans="1:3" x14ac:dyDescent="0.2">
      <c r="A951" s="90" t="s">
        <v>513</v>
      </c>
      <c r="B951" s="74" t="s">
        <v>840</v>
      </c>
      <c r="C951" s="81">
        <v>117</v>
      </c>
    </row>
    <row r="952" spans="1:3" x14ac:dyDescent="0.2">
      <c r="A952" s="90" t="s">
        <v>513</v>
      </c>
      <c r="B952" s="74" t="s">
        <v>840</v>
      </c>
      <c r="C952" s="81">
        <v>117</v>
      </c>
    </row>
    <row r="953" spans="1:3" x14ac:dyDescent="0.2">
      <c r="A953" s="90" t="s">
        <v>513</v>
      </c>
      <c r="B953" s="74" t="s">
        <v>840</v>
      </c>
      <c r="C953" s="81">
        <v>117</v>
      </c>
    </row>
    <row r="954" spans="1:3" x14ac:dyDescent="0.2">
      <c r="A954" s="90" t="s">
        <v>513</v>
      </c>
      <c r="B954" s="74" t="s">
        <v>841</v>
      </c>
      <c r="C954" s="81">
        <v>175.5</v>
      </c>
    </row>
    <row r="955" spans="1:3" x14ac:dyDescent="0.2">
      <c r="A955" s="90" t="s">
        <v>513</v>
      </c>
      <c r="B955" s="74" t="s">
        <v>841</v>
      </c>
      <c r="C955" s="81">
        <v>175.5</v>
      </c>
    </row>
    <row r="956" spans="1:3" x14ac:dyDescent="0.2">
      <c r="A956" s="90" t="s">
        <v>513</v>
      </c>
      <c r="B956" s="74" t="s">
        <v>841</v>
      </c>
      <c r="C956" s="81">
        <v>175.5</v>
      </c>
    </row>
    <row r="957" spans="1:3" x14ac:dyDescent="0.2">
      <c r="A957" s="90" t="s">
        <v>513</v>
      </c>
      <c r="B957" s="74" t="s">
        <v>842</v>
      </c>
      <c r="C957" s="81">
        <v>1453.5</v>
      </c>
    </row>
    <row r="958" spans="1:3" x14ac:dyDescent="0.2">
      <c r="A958" s="90" t="s">
        <v>513</v>
      </c>
      <c r="B958" s="74" t="s">
        <v>842</v>
      </c>
      <c r="C958" s="81">
        <v>1453.5</v>
      </c>
    </row>
    <row r="959" spans="1:3" x14ac:dyDescent="0.2">
      <c r="A959" s="90" t="s">
        <v>513</v>
      </c>
      <c r="B959" s="74" t="s">
        <v>842</v>
      </c>
      <c r="C959" s="81">
        <v>1453.5</v>
      </c>
    </row>
    <row r="960" spans="1:3" x14ac:dyDescent="0.2">
      <c r="A960" s="90" t="s">
        <v>513</v>
      </c>
      <c r="B960" s="74" t="s">
        <v>843</v>
      </c>
      <c r="C960" s="81">
        <v>108</v>
      </c>
    </row>
    <row r="961" spans="1:3" x14ac:dyDescent="0.2">
      <c r="A961" s="90" t="s">
        <v>513</v>
      </c>
      <c r="B961" s="74" t="s">
        <v>843</v>
      </c>
      <c r="C961" s="81">
        <v>108</v>
      </c>
    </row>
    <row r="962" spans="1:3" x14ac:dyDescent="0.2">
      <c r="A962" s="90" t="s">
        <v>513</v>
      </c>
      <c r="B962" s="74" t="s">
        <v>843</v>
      </c>
      <c r="C962" s="81">
        <v>108</v>
      </c>
    </row>
    <row r="963" spans="1:3" x14ac:dyDescent="0.2">
      <c r="A963" s="90" t="s">
        <v>513</v>
      </c>
      <c r="B963" s="74" t="s">
        <v>844</v>
      </c>
      <c r="C963" s="81">
        <v>198</v>
      </c>
    </row>
    <row r="964" spans="1:3" x14ac:dyDescent="0.2">
      <c r="A964" s="90" t="s">
        <v>513</v>
      </c>
      <c r="B964" s="74" t="s">
        <v>844</v>
      </c>
      <c r="C964" s="81">
        <v>198</v>
      </c>
    </row>
    <row r="965" spans="1:3" x14ac:dyDescent="0.2">
      <c r="A965" s="90" t="s">
        <v>513</v>
      </c>
      <c r="B965" s="74" t="s">
        <v>844</v>
      </c>
      <c r="C965" s="81">
        <v>198</v>
      </c>
    </row>
    <row r="966" spans="1:3" x14ac:dyDescent="0.2">
      <c r="A966" s="90" t="s">
        <v>513</v>
      </c>
      <c r="B966" s="74" t="s">
        <v>845</v>
      </c>
      <c r="C966" s="81">
        <v>103.5</v>
      </c>
    </row>
    <row r="967" spans="1:3" x14ac:dyDescent="0.2">
      <c r="A967" s="90" t="s">
        <v>513</v>
      </c>
      <c r="B967" s="74" t="s">
        <v>845</v>
      </c>
      <c r="C967" s="81">
        <v>103.5</v>
      </c>
    </row>
    <row r="968" spans="1:3" x14ac:dyDescent="0.2">
      <c r="A968" s="90" t="s">
        <v>513</v>
      </c>
      <c r="B968" s="74" t="s">
        <v>845</v>
      </c>
      <c r="C968" s="81">
        <v>103.5</v>
      </c>
    </row>
    <row r="969" spans="1:3" x14ac:dyDescent="0.2">
      <c r="A969" s="90" t="s">
        <v>513</v>
      </c>
      <c r="B969" s="74" t="s">
        <v>846</v>
      </c>
      <c r="C969" s="81">
        <v>216</v>
      </c>
    </row>
    <row r="970" spans="1:3" x14ac:dyDescent="0.2">
      <c r="A970" s="90" t="s">
        <v>513</v>
      </c>
      <c r="B970" s="74" t="s">
        <v>846</v>
      </c>
      <c r="C970" s="81">
        <v>216</v>
      </c>
    </row>
    <row r="971" spans="1:3" x14ac:dyDescent="0.2">
      <c r="A971" s="90" t="s">
        <v>513</v>
      </c>
      <c r="B971" s="74" t="s">
        <v>846</v>
      </c>
      <c r="C971" s="81">
        <v>216</v>
      </c>
    </row>
    <row r="972" spans="1:3" x14ac:dyDescent="0.2">
      <c r="A972" s="90" t="s">
        <v>513</v>
      </c>
      <c r="B972" s="74" t="s">
        <v>847</v>
      </c>
      <c r="C972" s="81">
        <v>202.5</v>
      </c>
    </row>
    <row r="973" spans="1:3" x14ac:dyDescent="0.2">
      <c r="A973" s="90" t="s">
        <v>513</v>
      </c>
      <c r="B973" s="74" t="s">
        <v>847</v>
      </c>
      <c r="C973" s="81">
        <v>202.5</v>
      </c>
    </row>
    <row r="974" spans="1:3" x14ac:dyDescent="0.2">
      <c r="A974" s="90" t="s">
        <v>513</v>
      </c>
      <c r="B974" s="74" t="s">
        <v>847</v>
      </c>
      <c r="C974" s="81">
        <v>202.5</v>
      </c>
    </row>
    <row r="975" spans="1:3" x14ac:dyDescent="0.2">
      <c r="A975" s="90" t="s">
        <v>513</v>
      </c>
      <c r="B975" s="74" t="s">
        <v>848</v>
      </c>
      <c r="C975" s="81">
        <v>214.2</v>
      </c>
    </row>
    <row r="976" spans="1:3" x14ac:dyDescent="0.2">
      <c r="A976" s="90" t="s">
        <v>513</v>
      </c>
      <c r="B976" s="74" t="s">
        <v>848</v>
      </c>
      <c r="C976" s="81">
        <v>214.2</v>
      </c>
    </row>
    <row r="977" spans="1:3" x14ac:dyDescent="0.2">
      <c r="A977" s="90" t="s">
        <v>513</v>
      </c>
      <c r="B977" s="74" t="s">
        <v>848</v>
      </c>
      <c r="C977" s="81">
        <v>214.2</v>
      </c>
    </row>
    <row r="978" spans="1:3" x14ac:dyDescent="0.2">
      <c r="A978" s="90" t="s">
        <v>513</v>
      </c>
      <c r="B978" s="74" t="s">
        <v>594</v>
      </c>
      <c r="C978" s="81">
        <v>63</v>
      </c>
    </row>
    <row r="979" spans="1:3" x14ac:dyDescent="0.2">
      <c r="A979" s="90" t="s">
        <v>513</v>
      </c>
      <c r="B979" s="74" t="s">
        <v>594</v>
      </c>
      <c r="C979" s="81">
        <v>63</v>
      </c>
    </row>
    <row r="980" spans="1:3" x14ac:dyDescent="0.2">
      <c r="A980" s="90" t="s">
        <v>513</v>
      </c>
      <c r="B980" s="74" t="s">
        <v>594</v>
      </c>
      <c r="C980" s="81">
        <v>63</v>
      </c>
    </row>
    <row r="981" spans="1:3" x14ac:dyDescent="0.2">
      <c r="A981" s="90" t="s">
        <v>513</v>
      </c>
      <c r="B981" s="74" t="s">
        <v>590</v>
      </c>
      <c r="C981" s="81">
        <v>170.1</v>
      </c>
    </row>
    <row r="982" spans="1:3" x14ac:dyDescent="0.2">
      <c r="A982" s="90" t="s">
        <v>513</v>
      </c>
      <c r="B982" s="74" t="s">
        <v>590</v>
      </c>
      <c r="C982" s="81">
        <v>170.1</v>
      </c>
    </row>
    <row r="983" spans="1:3" x14ac:dyDescent="0.2">
      <c r="A983" s="90" t="s">
        <v>513</v>
      </c>
      <c r="B983" s="74" t="s">
        <v>590</v>
      </c>
      <c r="C983" s="81">
        <v>170.1</v>
      </c>
    </row>
    <row r="984" spans="1:3" x14ac:dyDescent="0.2">
      <c r="A984" s="90" t="s">
        <v>513</v>
      </c>
      <c r="B984" s="74" t="s">
        <v>849</v>
      </c>
      <c r="C984" s="81">
        <v>98.1</v>
      </c>
    </row>
    <row r="985" spans="1:3" x14ac:dyDescent="0.2">
      <c r="A985" s="90" t="s">
        <v>513</v>
      </c>
      <c r="B985" s="74" t="s">
        <v>849</v>
      </c>
      <c r="C985" s="81">
        <v>98.1</v>
      </c>
    </row>
    <row r="986" spans="1:3" x14ac:dyDescent="0.2">
      <c r="A986" s="90" t="s">
        <v>513</v>
      </c>
      <c r="B986" s="74" t="s">
        <v>849</v>
      </c>
      <c r="C986" s="81">
        <v>98.1</v>
      </c>
    </row>
    <row r="987" spans="1:3" x14ac:dyDescent="0.2">
      <c r="A987" s="90" t="s">
        <v>513</v>
      </c>
      <c r="B987" s="74" t="s">
        <v>850</v>
      </c>
      <c r="C987" s="81">
        <v>459</v>
      </c>
    </row>
    <row r="988" spans="1:3" x14ac:dyDescent="0.2">
      <c r="A988" s="90" t="s">
        <v>513</v>
      </c>
      <c r="B988" s="74" t="s">
        <v>850</v>
      </c>
      <c r="C988" s="81">
        <v>459</v>
      </c>
    </row>
    <row r="989" spans="1:3" x14ac:dyDescent="0.2">
      <c r="A989" s="90" t="s">
        <v>513</v>
      </c>
      <c r="B989" s="74" t="s">
        <v>850</v>
      </c>
      <c r="C989" s="81">
        <v>459</v>
      </c>
    </row>
    <row r="990" spans="1:3" x14ac:dyDescent="0.2">
      <c r="A990" s="90" t="s">
        <v>513</v>
      </c>
      <c r="B990" s="74" t="s">
        <v>851</v>
      </c>
      <c r="C990" s="81">
        <v>81</v>
      </c>
    </row>
    <row r="991" spans="1:3" x14ac:dyDescent="0.2">
      <c r="A991" s="90" t="s">
        <v>513</v>
      </c>
      <c r="B991" s="74" t="s">
        <v>851</v>
      </c>
      <c r="C991" s="81">
        <v>81</v>
      </c>
    </row>
    <row r="992" spans="1:3" x14ac:dyDescent="0.2">
      <c r="A992" s="90" t="s">
        <v>513</v>
      </c>
      <c r="B992" s="74" t="s">
        <v>851</v>
      </c>
      <c r="C992" s="81">
        <v>81</v>
      </c>
    </row>
    <row r="993" spans="1:3" x14ac:dyDescent="0.2">
      <c r="A993" s="90" t="s">
        <v>513</v>
      </c>
      <c r="B993" s="74" t="s">
        <v>852</v>
      </c>
      <c r="C993" s="81">
        <v>319.5</v>
      </c>
    </row>
    <row r="994" spans="1:3" x14ac:dyDescent="0.2">
      <c r="A994" s="90" t="s">
        <v>513</v>
      </c>
      <c r="B994" s="74" t="s">
        <v>852</v>
      </c>
      <c r="C994" s="81">
        <v>319.5</v>
      </c>
    </row>
    <row r="995" spans="1:3" x14ac:dyDescent="0.2">
      <c r="A995" s="90" t="s">
        <v>513</v>
      </c>
      <c r="B995" s="74" t="s">
        <v>852</v>
      </c>
      <c r="C995" s="81">
        <v>319.5</v>
      </c>
    </row>
    <row r="996" spans="1:3" x14ac:dyDescent="0.2">
      <c r="A996" s="90" t="s">
        <v>513</v>
      </c>
      <c r="B996" s="74" t="s">
        <v>853</v>
      </c>
      <c r="C996" s="81">
        <v>99</v>
      </c>
    </row>
    <row r="997" spans="1:3" x14ac:dyDescent="0.2">
      <c r="A997" s="90" t="s">
        <v>513</v>
      </c>
      <c r="B997" s="74" t="s">
        <v>853</v>
      </c>
      <c r="C997" s="81">
        <v>99</v>
      </c>
    </row>
    <row r="998" spans="1:3" x14ac:dyDescent="0.2">
      <c r="A998" s="90" t="s">
        <v>513</v>
      </c>
      <c r="B998" s="74" t="s">
        <v>853</v>
      </c>
      <c r="C998" s="81">
        <v>99</v>
      </c>
    </row>
    <row r="999" spans="1:3" x14ac:dyDescent="0.2">
      <c r="A999" s="90" t="s">
        <v>513</v>
      </c>
      <c r="B999" s="74" t="s">
        <v>854</v>
      </c>
      <c r="C999" s="81">
        <v>90</v>
      </c>
    </row>
    <row r="1000" spans="1:3" x14ac:dyDescent="0.2">
      <c r="A1000" s="90" t="s">
        <v>513</v>
      </c>
      <c r="B1000" s="74" t="s">
        <v>854</v>
      </c>
      <c r="C1000" s="81">
        <v>90</v>
      </c>
    </row>
    <row r="1001" spans="1:3" x14ac:dyDescent="0.2">
      <c r="A1001" s="90" t="s">
        <v>513</v>
      </c>
      <c r="B1001" s="74" t="s">
        <v>854</v>
      </c>
      <c r="C1001" s="81">
        <v>90</v>
      </c>
    </row>
    <row r="1002" spans="1:3" x14ac:dyDescent="0.2">
      <c r="A1002" s="90" t="s">
        <v>513</v>
      </c>
      <c r="B1002" s="74" t="s">
        <v>740</v>
      </c>
      <c r="C1002" s="81">
        <v>306</v>
      </c>
    </row>
    <row r="1003" spans="1:3" x14ac:dyDescent="0.2">
      <c r="A1003" s="90" t="s">
        <v>513</v>
      </c>
      <c r="B1003" s="74" t="s">
        <v>740</v>
      </c>
      <c r="C1003" s="81">
        <v>306</v>
      </c>
    </row>
    <row r="1004" spans="1:3" x14ac:dyDescent="0.2">
      <c r="A1004" s="90" t="s">
        <v>513</v>
      </c>
      <c r="B1004" s="74" t="s">
        <v>740</v>
      </c>
      <c r="C1004" s="81">
        <v>306</v>
      </c>
    </row>
    <row r="1005" spans="1:3" x14ac:dyDescent="0.2">
      <c r="A1005" s="90" t="s">
        <v>513</v>
      </c>
      <c r="B1005" s="74" t="s">
        <v>855</v>
      </c>
      <c r="C1005" s="81">
        <v>270</v>
      </c>
    </row>
    <row r="1006" spans="1:3" x14ac:dyDescent="0.2">
      <c r="A1006" s="90" t="s">
        <v>513</v>
      </c>
      <c r="B1006" s="74" t="s">
        <v>855</v>
      </c>
      <c r="C1006" s="81">
        <v>270</v>
      </c>
    </row>
    <row r="1007" spans="1:3" x14ac:dyDescent="0.2">
      <c r="A1007" s="90" t="s">
        <v>513</v>
      </c>
      <c r="B1007" s="74" t="s">
        <v>855</v>
      </c>
      <c r="C1007" s="81">
        <v>270</v>
      </c>
    </row>
    <row r="1008" spans="1:3" x14ac:dyDescent="0.2">
      <c r="A1008" s="90" t="s">
        <v>513</v>
      </c>
      <c r="B1008" s="74" t="s">
        <v>556</v>
      </c>
      <c r="C1008" s="81">
        <v>81</v>
      </c>
    </row>
    <row r="1009" spans="1:3" x14ac:dyDescent="0.2">
      <c r="A1009" s="90" t="s">
        <v>513</v>
      </c>
      <c r="B1009" s="74" t="s">
        <v>556</v>
      </c>
      <c r="C1009" s="81">
        <v>81</v>
      </c>
    </row>
    <row r="1010" spans="1:3" x14ac:dyDescent="0.2">
      <c r="A1010" s="90" t="s">
        <v>513</v>
      </c>
      <c r="B1010" s="74" t="s">
        <v>556</v>
      </c>
      <c r="C1010" s="81">
        <v>81</v>
      </c>
    </row>
    <row r="1011" spans="1:3" x14ac:dyDescent="0.2">
      <c r="A1011" s="90" t="s">
        <v>513</v>
      </c>
      <c r="B1011" s="74" t="s">
        <v>856</v>
      </c>
      <c r="C1011" s="81">
        <v>234</v>
      </c>
    </row>
    <row r="1012" spans="1:3" x14ac:dyDescent="0.2">
      <c r="A1012" s="90" t="s">
        <v>513</v>
      </c>
      <c r="B1012" s="74" t="s">
        <v>856</v>
      </c>
      <c r="C1012" s="81">
        <v>234</v>
      </c>
    </row>
    <row r="1013" spans="1:3" x14ac:dyDescent="0.2">
      <c r="A1013" s="90" t="s">
        <v>513</v>
      </c>
      <c r="B1013" s="74" t="s">
        <v>856</v>
      </c>
      <c r="C1013" s="81">
        <v>234</v>
      </c>
    </row>
    <row r="1014" spans="1:3" x14ac:dyDescent="0.2">
      <c r="A1014" s="90" t="s">
        <v>513</v>
      </c>
      <c r="B1014" s="74" t="s">
        <v>857</v>
      </c>
      <c r="C1014" s="81">
        <v>309.60000000000002</v>
      </c>
    </row>
    <row r="1015" spans="1:3" x14ac:dyDescent="0.2">
      <c r="A1015" s="90" t="s">
        <v>513</v>
      </c>
      <c r="B1015" s="74" t="s">
        <v>857</v>
      </c>
      <c r="C1015" s="81">
        <v>309.60000000000002</v>
      </c>
    </row>
    <row r="1016" spans="1:3" x14ac:dyDescent="0.2">
      <c r="A1016" s="90" t="s">
        <v>513</v>
      </c>
      <c r="B1016" s="74" t="s">
        <v>857</v>
      </c>
      <c r="C1016" s="81">
        <v>309.60000000000002</v>
      </c>
    </row>
    <row r="1017" spans="1:3" x14ac:dyDescent="0.2">
      <c r="A1017" s="90" t="s">
        <v>513</v>
      </c>
      <c r="B1017" s="74" t="s">
        <v>858</v>
      </c>
      <c r="C1017" s="81">
        <v>237.6</v>
      </c>
    </row>
    <row r="1018" spans="1:3" x14ac:dyDescent="0.2">
      <c r="A1018" s="90" t="s">
        <v>513</v>
      </c>
      <c r="B1018" s="74" t="s">
        <v>858</v>
      </c>
      <c r="C1018" s="81">
        <v>237.6</v>
      </c>
    </row>
    <row r="1019" spans="1:3" x14ac:dyDescent="0.2">
      <c r="A1019" s="90" t="s">
        <v>513</v>
      </c>
      <c r="B1019" s="74" t="s">
        <v>858</v>
      </c>
      <c r="C1019" s="81">
        <v>237.6</v>
      </c>
    </row>
    <row r="1020" spans="1:3" ht="15.95" customHeight="1" x14ac:dyDescent="0.2">
      <c r="A1020" s="90" t="s">
        <v>513</v>
      </c>
      <c r="B1020" s="74" t="s">
        <v>859</v>
      </c>
      <c r="C1020" s="81">
        <v>436.5</v>
      </c>
    </row>
    <row r="1021" spans="1:3" ht="15.95" customHeight="1" x14ac:dyDescent="0.2">
      <c r="A1021" s="90" t="s">
        <v>513</v>
      </c>
      <c r="B1021" s="74" t="s">
        <v>859</v>
      </c>
      <c r="C1021" s="81">
        <v>436.5</v>
      </c>
    </row>
    <row r="1022" spans="1:3" ht="15.95" customHeight="1" x14ac:dyDescent="0.2">
      <c r="A1022" s="90" t="s">
        <v>513</v>
      </c>
      <c r="B1022" s="74" t="s">
        <v>859</v>
      </c>
      <c r="C1022" s="81">
        <v>436.5</v>
      </c>
    </row>
    <row r="1023" spans="1:3" x14ac:dyDescent="0.2">
      <c r="A1023" s="90" t="s">
        <v>513</v>
      </c>
      <c r="B1023" s="74" t="s">
        <v>860</v>
      </c>
      <c r="C1023" s="81">
        <v>423</v>
      </c>
    </row>
    <row r="1024" spans="1:3" x14ac:dyDescent="0.2">
      <c r="A1024" s="90" t="s">
        <v>513</v>
      </c>
      <c r="B1024" s="74" t="s">
        <v>860</v>
      </c>
      <c r="C1024" s="81">
        <v>423</v>
      </c>
    </row>
    <row r="1025" spans="1:3" x14ac:dyDescent="0.2">
      <c r="A1025" s="90" t="s">
        <v>513</v>
      </c>
      <c r="B1025" s="74" t="s">
        <v>860</v>
      </c>
      <c r="C1025" s="81">
        <v>423</v>
      </c>
    </row>
    <row r="1026" spans="1:3" x14ac:dyDescent="0.2">
      <c r="A1026" s="90" t="s">
        <v>513</v>
      </c>
      <c r="B1026" s="74" t="s">
        <v>861</v>
      </c>
      <c r="C1026" s="81">
        <v>840.6</v>
      </c>
    </row>
    <row r="1027" spans="1:3" x14ac:dyDescent="0.2">
      <c r="A1027" s="90" t="s">
        <v>513</v>
      </c>
      <c r="B1027" s="74" t="s">
        <v>861</v>
      </c>
      <c r="C1027" s="81">
        <v>840.6</v>
      </c>
    </row>
    <row r="1028" spans="1:3" x14ac:dyDescent="0.2">
      <c r="A1028" s="90" t="s">
        <v>513</v>
      </c>
      <c r="B1028" s="74" t="s">
        <v>861</v>
      </c>
      <c r="C1028" s="81">
        <v>840.6</v>
      </c>
    </row>
    <row r="1029" spans="1:3" x14ac:dyDescent="0.2">
      <c r="A1029" s="90" t="s">
        <v>513</v>
      </c>
      <c r="B1029" s="74" t="s">
        <v>862</v>
      </c>
      <c r="C1029" s="81">
        <v>381.6</v>
      </c>
    </row>
    <row r="1030" spans="1:3" x14ac:dyDescent="0.2">
      <c r="A1030" s="90" t="s">
        <v>513</v>
      </c>
      <c r="B1030" s="74" t="s">
        <v>862</v>
      </c>
      <c r="C1030" s="81">
        <v>381.6</v>
      </c>
    </row>
    <row r="1031" spans="1:3" x14ac:dyDescent="0.2">
      <c r="A1031" s="90" t="s">
        <v>513</v>
      </c>
      <c r="B1031" s="74" t="s">
        <v>862</v>
      </c>
      <c r="C1031" s="81">
        <v>381.6</v>
      </c>
    </row>
    <row r="1032" spans="1:3" x14ac:dyDescent="0.2">
      <c r="A1032" s="90" t="s">
        <v>513</v>
      </c>
      <c r="B1032" s="74" t="s">
        <v>863</v>
      </c>
      <c r="C1032" s="81">
        <v>88</v>
      </c>
    </row>
    <row r="1033" spans="1:3" x14ac:dyDescent="0.2">
      <c r="A1033" s="90" t="s">
        <v>513</v>
      </c>
      <c r="B1033" s="74" t="s">
        <v>863</v>
      </c>
      <c r="C1033" s="81">
        <v>88</v>
      </c>
    </row>
    <row r="1034" spans="1:3" x14ac:dyDescent="0.2">
      <c r="A1034" s="90" t="s">
        <v>513</v>
      </c>
      <c r="B1034" s="74" t="s">
        <v>863</v>
      </c>
      <c r="C1034" s="81">
        <v>88</v>
      </c>
    </row>
    <row r="1035" spans="1:3" x14ac:dyDescent="0.2">
      <c r="A1035" s="90" t="s">
        <v>513</v>
      </c>
      <c r="B1035" s="74" t="s">
        <v>863</v>
      </c>
      <c r="C1035" s="81">
        <v>88</v>
      </c>
    </row>
    <row r="1036" spans="1:3" x14ac:dyDescent="0.2">
      <c r="A1036" s="90" t="s">
        <v>513</v>
      </c>
      <c r="B1036" s="74" t="s">
        <v>863</v>
      </c>
      <c r="C1036" s="81">
        <v>88</v>
      </c>
    </row>
    <row r="1037" spans="1:3" x14ac:dyDescent="0.2">
      <c r="A1037" s="90" t="s">
        <v>513</v>
      </c>
      <c r="B1037" s="74" t="s">
        <v>863</v>
      </c>
      <c r="C1037" s="81">
        <v>88</v>
      </c>
    </row>
    <row r="1038" spans="1:3" x14ac:dyDescent="0.2">
      <c r="A1038" s="90" t="s">
        <v>513</v>
      </c>
      <c r="B1038" s="74" t="s">
        <v>864</v>
      </c>
      <c r="C1038" s="81">
        <v>88</v>
      </c>
    </row>
    <row r="1039" spans="1:3" x14ac:dyDescent="0.2">
      <c r="A1039" s="90" t="s">
        <v>513</v>
      </c>
      <c r="B1039" s="74" t="s">
        <v>864</v>
      </c>
      <c r="C1039" s="81">
        <v>88</v>
      </c>
    </row>
    <row r="1040" spans="1:3" x14ac:dyDescent="0.2">
      <c r="A1040" s="90" t="s">
        <v>513</v>
      </c>
      <c r="B1040" s="74" t="s">
        <v>864</v>
      </c>
      <c r="C1040" s="81">
        <v>88</v>
      </c>
    </row>
    <row r="1041" spans="1:3" x14ac:dyDescent="0.2">
      <c r="A1041" s="90" t="s">
        <v>513</v>
      </c>
      <c r="B1041" s="74" t="s">
        <v>864</v>
      </c>
      <c r="C1041" s="81">
        <v>88</v>
      </c>
    </row>
    <row r="1042" spans="1:3" x14ac:dyDescent="0.2">
      <c r="A1042" s="90" t="s">
        <v>513</v>
      </c>
      <c r="B1042" s="74" t="s">
        <v>864</v>
      </c>
      <c r="C1042" s="81">
        <v>88</v>
      </c>
    </row>
    <row r="1043" spans="1:3" x14ac:dyDescent="0.2">
      <c r="A1043" s="90" t="s">
        <v>513</v>
      </c>
      <c r="B1043" s="74" t="s">
        <v>864</v>
      </c>
      <c r="C1043" s="81">
        <v>88</v>
      </c>
    </row>
    <row r="1044" spans="1:3" x14ac:dyDescent="0.2">
      <c r="A1044" s="90" t="s">
        <v>513</v>
      </c>
      <c r="B1044" s="74" t="s">
        <v>865</v>
      </c>
      <c r="C1044" s="81">
        <v>88</v>
      </c>
    </row>
    <row r="1045" spans="1:3" x14ac:dyDescent="0.2">
      <c r="A1045" s="90" t="s">
        <v>513</v>
      </c>
      <c r="B1045" s="74" t="s">
        <v>865</v>
      </c>
      <c r="C1045" s="81">
        <v>88</v>
      </c>
    </row>
    <row r="1046" spans="1:3" x14ac:dyDescent="0.2">
      <c r="A1046" s="90" t="s">
        <v>513</v>
      </c>
      <c r="B1046" s="74" t="s">
        <v>865</v>
      </c>
      <c r="C1046" s="81">
        <v>88</v>
      </c>
    </row>
    <row r="1047" spans="1:3" x14ac:dyDescent="0.2">
      <c r="A1047" s="90" t="s">
        <v>513</v>
      </c>
      <c r="B1047" s="74" t="s">
        <v>865</v>
      </c>
      <c r="C1047" s="81">
        <v>88</v>
      </c>
    </row>
    <row r="1048" spans="1:3" x14ac:dyDescent="0.2">
      <c r="A1048" s="90" t="s">
        <v>513</v>
      </c>
      <c r="B1048" s="74" t="s">
        <v>865</v>
      </c>
      <c r="C1048" s="81">
        <v>88</v>
      </c>
    </row>
    <row r="1049" spans="1:3" x14ac:dyDescent="0.2">
      <c r="A1049" s="90" t="s">
        <v>513</v>
      </c>
      <c r="B1049" s="74" t="s">
        <v>865</v>
      </c>
      <c r="C1049" s="81">
        <v>88</v>
      </c>
    </row>
    <row r="1050" spans="1:3" x14ac:dyDescent="0.2">
      <c r="A1050" s="90" t="s">
        <v>513</v>
      </c>
      <c r="B1050" s="74" t="s">
        <v>866</v>
      </c>
      <c r="C1050" s="81">
        <v>88</v>
      </c>
    </row>
    <row r="1051" spans="1:3" x14ac:dyDescent="0.2">
      <c r="A1051" s="90" t="s">
        <v>513</v>
      </c>
      <c r="B1051" s="74" t="s">
        <v>866</v>
      </c>
      <c r="C1051" s="81">
        <v>88</v>
      </c>
    </row>
    <row r="1052" spans="1:3" x14ac:dyDescent="0.2">
      <c r="A1052" s="90" t="s">
        <v>513</v>
      </c>
      <c r="B1052" s="74" t="s">
        <v>866</v>
      </c>
      <c r="C1052" s="81">
        <v>88</v>
      </c>
    </row>
    <row r="1053" spans="1:3" x14ac:dyDescent="0.2">
      <c r="A1053" s="90" t="s">
        <v>513</v>
      </c>
      <c r="B1053" s="74" t="s">
        <v>866</v>
      </c>
      <c r="C1053" s="81">
        <v>88</v>
      </c>
    </row>
    <row r="1054" spans="1:3" x14ac:dyDescent="0.2">
      <c r="A1054" s="90" t="s">
        <v>513</v>
      </c>
      <c r="B1054" s="74" t="s">
        <v>866</v>
      </c>
      <c r="C1054" s="81">
        <v>88</v>
      </c>
    </row>
    <row r="1055" spans="1:3" x14ac:dyDescent="0.2">
      <c r="A1055" s="90" t="s">
        <v>513</v>
      </c>
      <c r="B1055" s="74" t="s">
        <v>866</v>
      </c>
      <c r="C1055" s="81">
        <v>88</v>
      </c>
    </row>
    <row r="1056" spans="1:3" x14ac:dyDescent="0.2">
      <c r="A1056" s="90" t="s">
        <v>513</v>
      </c>
      <c r="B1056" s="74" t="s">
        <v>867</v>
      </c>
      <c r="C1056" s="81">
        <v>96</v>
      </c>
    </row>
    <row r="1057" spans="1:3" x14ac:dyDescent="0.2">
      <c r="A1057" s="90" t="s">
        <v>513</v>
      </c>
      <c r="B1057" s="74" t="s">
        <v>867</v>
      </c>
      <c r="C1057" s="81">
        <v>96</v>
      </c>
    </row>
    <row r="1058" spans="1:3" x14ac:dyDescent="0.2">
      <c r="A1058" s="90" t="s">
        <v>513</v>
      </c>
      <c r="B1058" s="74" t="s">
        <v>867</v>
      </c>
      <c r="C1058" s="81">
        <v>96</v>
      </c>
    </row>
    <row r="1059" spans="1:3" x14ac:dyDescent="0.2">
      <c r="A1059" s="90" t="s">
        <v>513</v>
      </c>
      <c r="B1059" s="74" t="s">
        <v>867</v>
      </c>
      <c r="C1059" s="81">
        <v>96</v>
      </c>
    </row>
    <row r="1060" spans="1:3" x14ac:dyDescent="0.2">
      <c r="A1060" s="90" t="s">
        <v>513</v>
      </c>
      <c r="B1060" s="74" t="s">
        <v>867</v>
      </c>
      <c r="C1060" s="81">
        <v>96</v>
      </c>
    </row>
    <row r="1061" spans="1:3" x14ac:dyDescent="0.2">
      <c r="A1061" s="90" t="s">
        <v>513</v>
      </c>
      <c r="B1061" s="74" t="s">
        <v>867</v>
      </c>
      <c r="C1061" s="81">
        <v>96</v>
      </c>
    </row>
    <row r="1062" spans="1:3" x14ac:dyDescent="0.2">
      <c r="A1062" s="90" t="s">
        <v>513</v>
      </c>
      <c r="B1062" s="74" t="s">
        <v>868</v>
      </c>
      <c r="C1062" s="81">
        <v>72</v>
      </c>
    </row>
    <row r="1063" spans="1:3" x14ac:dyDescent="0.2">
      <c r="A1063" s="90" t="s">
        <v>513</v>
      </c>
      <c r="B1063" s="74" t="s">
        <v>868</v>
      </c>
      <c r="C1063" s="81">
        <v>72</v>
      </c>
    </row>
    <row r="1064" spans="1:3" x14ac:dyDescent="0.2">
      <c r="A1064" s="90" t="s">
        <v>513</v>
      </c>
      <c r="B1064" s="74" t="s">
        <v>868</v>
      </c>
      <c r="C1064" s="81">
        <v>72</v>
      </c>
    </row>
    <row r="1065" spans="1:3" x14ac:dyDescent="0.2">
      <c r="A1065" s="90" t="s">
        <v>513</v>
      </c>
      <c r="B1065" s="74" t="s">
        <v>868</v>
      </c>
      <c r="C1065" s="81">
        <v>72</v>
      </c>
    </row>
    <row r="1066" spans="1:3" x14ac:dyDescent="0.2">
      <c r="A1066" s="90" t="s">
        <v>513</v>
      </c>
      <c r="B1066" s="74" t="s">
        <v>868</v>
      </c>
      <c r="C1066" s="81">
        <v>72</v>
      </c>
    </row>
    <row r="1067" spans="1:3" x14ac:dyDescent="0.2">
      <c r="A1067" s="90" t="s">
        <v>513</v>
      </c>
      <c r="B1067" s="74" t="s">
        <v>868</v>
      </c>
      <c r="C1067" s="81">
        <v>72</v>
      </c>
    </row>
    <row r="1068" spans="1:3" x14ac:dyDescent="0.2">
      <c r="A1068" s="90" t="s">
        <v>513</v>
      </c>
      <c r="B1068" s="74" t="s">
        <v>869</v>
      </c>
      <c r="C1068" s="81">
        <v>120</v>
      </c>
    </row>
    <row r="1069" spans="1:3" x14ac:dyDescent="0.2">
      <c r="A1069" s="90" t="s">
        <v>513</v>
      </c>
      <c r="B1069" s="74" t="s">
        <v>869</v>
      </c>
      <c r="C1069" s="81">
        <v>120</v>
      </c>
    </row>
    <row r="1070" spans="1:3" x14ac:dyDescent="0.2">
      <c r="A1070" s="90" t="s">
        <v>513</v>
      </c>
      <c r="B1070" s="74" t="s">
        <v>869</v>
      </c>
      <c r="C1070" s="81">
        <v>120</v>
      </c>
    </row>
    <row r="1071" spans="1:3" x14ac:dyDescent="0.2">
      <c r="A1071" s="90" t="s">
        <v>513</v>
      </c>
      <c r="B1071" s="74" t="s">
        <v>869</v>
      </c>
      <c r="C1071" s="81">
        <v>120</v>
      </c>
    </row>
    <row r="1072" spans="1:3" x14ac:dyDescent="0.2">
      <c r="A1072" s="90" t="s">
        <v>513</v>
      </c>
      <c r="B1072" s="74" t="s">
        <v>869</v>
      </c>
      <c r="C1072" s="81">
        <v>120</v>
      </c>
    </row>
    <row r="1073" spans="1:3" x14ac:dyDescent="0.2">
      <c r="A1073" s="90" t="s">
        <v>513</v>
      </c>
      <c r="B1073" s="74" t="s">
        <v>869</v>
      </c>
      <c r="C1073" s="81">
        <v>120</v>
      </c>
    </row>
    <row r="1074" spans="1:3" x14ac:dyDescent="0.2">
      <c r="A1074" s="90" t="s">
        <v>513</v>
      </c>
      <c r="B1074" s="74" t="s">
        <v>870</v>
      </c>
      <c r="C1074" s="81">
        <v>100</v>
      </c>
    </row>
    <row r="1075" spans="1:3" x14ac:dyDescent="0.2">
      <c r="A1075" s="90" t="s">
        <v>513</v>
      </c>
      <c r="B1075" s="74" t="s">
        <v>870</v>
      </c>
      <c r="C1075" s="81">
        <v>100</v>
      </c>
    </row>
    <row r="1076" spans="1:3" x14ac:dyDescent="0.2">
      <c r="A1076" s="90" t="s">
        <v>513</v>
      </c>
      <c r="B1076" s="74" t="s">
        <v>870</v>
      </c>
      <c r="C1076" s="81">
        <v>100</v>
      </c>
    </row>
    <row r="1077" spans="1:3" x14ac:dyDescent="0.2">
      <c r="A1077" s="90" t="s">
        <v>513</v>
      </c>
      <c r="B1077" s="74" t="s">
        <v>870</v>
      </c>
      <c r="C1077" s="81">
        <v>100</v>
      </c>
    </row>
    <row r="1078" spans="1:3" x14ac:dyDescent="0.2">
      <c r="A1078" s="90" t="s">
        <v>513</v>
      </c>
      <c r="B1078" s="74" t="s">
        <v>870</v>
      </c>
      <c r="C1078" s="81">
        <v>100</v>
      </c>
    </row>
    <row r="1079" spans="1:3" x14ac:dyDescent="0.2">
      <c r="A1079" s="90" t="s">
        <v>513</v>
      </c>
      <c r="B1079" s="74" t="s">
        <v>870</v>
      </c>
      <c r="C1079" s="81">
        <v>100</v>
      </c>
    </row>
    <row r="1080" spans="1:3" x14ac:dyDescent="0.2">
      <c r="A1080" s="90" t="s">
        <v>513</v>
      </c>
      <c r="B1080" s="74" t="s">
        <v>871</v>
      </c>
      <c r="C1080" s="81">
        <v>112</v>
      </c>
    </row>
    <row r="1081" spans="1:3" x14ac:dyDescent="0.2">
      <c r="A1081" s="90" t="s">
        <v>513</v>
      </c>
      <c r="B1081" s="74" t="s">
        <v>871</v>
      </c>
      <c r="C1081" s="81">
        <v>112</v>
      </c>
    </row>
    <row r="1082" spans="1:3" x14ac:dyDescent="0.2">
      <c r="A1082" s="90" t="s">
        <v>513</v>
      </c>
      <c r="B1082" s="74" t="s">
        <v>871</v>
      </c>
      <c r="C1082" s="81">
        <v>112</v>
      </c>
    </row>
    <row r="1083" spans="1:3" x14ac:dyDescent="0.2">
      <c r="A1083" s="90" t="s">
        <v>513</v>
      </c>
      <c r="B1083" s="74" t="s">
        <v>871</v>
      </c>
      <c r="C1083" s="81">
        <v>112</v>
      </c>
    </row>
    <row r="1084" spans="1:3" x14ac:dyDescent="0.2">
      <c r="A1084" s="90" t="s">
        <v>513</v>
      </c>
      <c r="B1084" s="74" t="s">
        <v>871</v>
      </c>
      <c r="C1084" s="81">
        <v>112</v>
      </c>
    </row>
    <row r="1085" spans="1:3" x14ac:dyDescent="0.2">
      <c r="A1085" s="90" t="s">
        <v>513</v>
      </c>
      <c r="B1085" s="74" t="s">
        <v>871</v>
      </c>
      <c r="C1085" s="81">
        <v>112</v>
      </c>
    </row>
    <row r="1086" spans="1:3" x14ac:dyDescent="0.2">
      <c r="A1086" s="90" t="s">
        <v>513</v>
      </c>
      <c r="B1086" s="74" t="s">
        <v>872</v>
      </c>
      <c r="C1086" s="81">
        <v>112</v>
      </c>
    </row>
    <row r="1087" spans="1:3" x14ac:dyDescent="0.2">
      <c r="A1087" s="90" t="s">
        <v>513</v>
      </c>
      <c r="B1087" s="74" t="s">
        <v>872</v>
      </c>
      <c r="C1087" s="81">
        <v>112</v>
      </c>
    </row>
    <row r="1088" spans="1:3" x14ac:dyDescent="0.2">
      <c r="A1088" s="90" t="s">
        <v>513</v>
      </c>
      <c r="B1088" s="74" t="s">
        <v>872</v>
      </c>
      <c r="C1088" s="81">
        <v>112</v>
      </c>
    </row>
    <row r="1089" spans="1:3" x14ac:dyDescent="0.2">
      <c r="A1089" s="90" t="s">
        <v>513</v>
      </c>
      <c r="B1089" s="74" t="s">
        <v>872</v>
      </c>
      <c r="C1089" s="81">
        <v>112</v>
      </c>
    </row>
    <row r="1090" spans="1:3" x14ac:dyDescent="0.2">
      <c r="A1090" s="90" t="s">
        <v>513</v>
      </c>
      <c r="B1090" s="74" t="s">
        <v>872</v>
      </c>
      <c r="C1090" s="81">
        <v>112</v>
      </c>
    </row>
    <row r="1091" spans="1:3" x14ac:dyDescent="0.2">
      <c r="A1091" s="90" t="s">
        <v>513</v>
      </c>
      <c r="B1091" s="74" t="s">
        <v>872</v>
      </c>
      <c r="C1091" s="81">
        <v>112</v>
      </c>
    </row>
    <row r="1092" spans="1:3" x14ac:dyDescent="0.2">
      <c r="A1092" s="90" t="s">
        <v>513</v>
      </c>
      <c r="B1092" s="74" t="s">
        <v>873</v>
      </c>
      <c r="C1092" s="81">
        <v>76</v>
      </c>
    </row>
    <row r="1093" spans="1:3" x14ac:dyDescent="0.2">
      <c r="A1093" s="90" t="s">
        <v>513</v>
      </c>
      <c r="B1093" s="74" t="s">
        <v>873</v>
      </c>
      <c r="C1093" s="81">
        <v>76</v>
      </c>
    </row>
    <row r="1094" spans="1:3" x14ac:dyDescent="0.2">
      <c r="A1094" s="90" t="s">
        <v>513</v>
      </c>
      <c r="B1094" s="74" t="s">
        <v>873</v>
      </c>
      <c r="C1094" s="81">
        <v>76</v>
      </c>
    </row>
    <row r="1095" spans="1:3" x14ac:dyDescent="0.2">
      <c r="A1095" s="90" t="s">
        <v>513</v>
      </c>
      <c r="B1095" s="74" t="s">
        <v>873</v>
      </c>
      <c r="C1095" s="81">
        <v>76</v>
      </c>
    </row>
    <row r="1096" spans="1:3" x14ac:dyDescent="0.2">
      <c r="A1096" s="90" t="s">
        <v>513</v>
      </c>
      <c r="B1096" s="74" t="s">
        <v>873</v>
      </c>
      <c r="C1096" s="81">
        <v>76</v>
      </c>
    </row>
    <row r="1097" spans="1:3" x14ac:dyDescent="0.2">
      <c r="A1097" s="90" t="s">
        <v>513</v>
      </c>
      <c r="B1097" s="74" t="s">
        <v>873</v>
      </c>
      <c r="C1097" s="81">
        <v>76</v>
      </c>
    </row>
    <row r="1098" spans="1:3" x14ac:dyDescent="0.2">
      <c r="A1098" s="90" t="s">
        <v>513</v>
      </c>
      <c r="B1098" s="74" t="s">
        <v>874</v>
      </c>
      <c r="C1098" s="81">
        <v>128</v>
      </c>
    </row>
    <row r="1099" spans="1:3" x14ac:dyDescent="0.2">
      <c r="A1099" s="90" t="s">
        <v>513</v>
      </c>
      <c r="B1099" s="74" t="s">
        <v>874</v>
      </c>
      <c r="C1099" s="81">
        <v>128</v>
      </c>
    </row>
    <row r="1100" spans="1:3" x14ac:dyDescent="0.2">
      <c r="A1100" s="90" t="s">
        <v>513</v>
      </c>
      <c r="B1100" s="74" t="s">
        <v>874</v>
      </c>
      <c r="C1100" s="81">
        <v>128</v>
      </c>
    </row>
    <row r="1101" spans="1:3" x14ac:dyDescent="0.2">
      <c r="A1101" s="90" t="s">
        <v>513</v>
      </c>
      <c r="B1101" s="74" t="s">
        <v>874</v>
      </c>
      <c r="C1101" s="81">
        <v>128</v>
      </c>
    </row>
    <row r="1102" spans="1:3" x14ac:dyDescent="0.2">
      <c r="A1102" s="90" t="s">
        <v>513</v>
      </c>
      <c r="B1102" s="74" t="s">
        <v>874</v>
      </c>
      <c r="C1102" s="81">
        <v>128</v>
      </c>
    </row>
    <row r="1103" spans="1:3" x14ac:dyDescent="0.2">
      <c r="A1103" s="90" t="s">
        <v>513</v>
      </c>
      <c r="B1103" s="74" t="s">
        <v>874</v>
      </c>
      <c r="C1103" s="81">
        <v>128</v>
      </c>
    </row>
    <row r="1104" spans="1:3" x14ac:dyDescent="0.2">
      <c r="A1104" s="90" t="s">
        <v>513</v>
      </c>
      <c r="B1104" s="74" t="s">
        <v>875</v>
      </c>
      <c r="C1104" s="81">
        <v>64</v>
      </c>
    </row>
    <row r="1105" spans="1:3" x14ac:dyDescent="0.2">
      <c r="A1105" s="90" t="s">
        <v>513</v>
      </c>
      <c r="B1105" s="74" t="s">
        <v>875</v>
      </c>
      <c r="C1105" s="81">
        <v>64</v>
      </c>
    </row>
    <row r="1106" spans="1:3" x14ac:dyDescent="0.2">
      <c r="A1106" s="90" t="s">
        <v>513</v>
      </c>
      <c r="B1106" s="74" t="s">
        <v>875</v>
      </c>
      <c r="C1106" s="81">
        <v>64</v>
      </c>
    </row>
    <row r="1107" spans="1:3" x14ac:dyDescent="0.2">
      <c r="A1107" s="90" t="s">
        <v>513</v>
      </c>
      <c r="B1107" s="74" t="s">
        <v>875</v>
      </c>
      <c r="C1107" s="81">
        <v>64</v>
      </c>
    </row>
    <row r="1108" spans="1:3" x14ac:dyDescent="0.2">
      <c r="A1108" s="90" t="s">
        <v>513</v>
      </c>
      <c r="B1108" s="74" t="s">
        <v>875</v>
      </c>
      <c r="C1108" s="81">
        <v>64</v>
      </c>
    </row>
    <row r="1109" spans="1:3" x14ac:dyDescent="0.2">
      <c r="A1109" s="90" t="s">
        <v>513</v>
      </c>
      <c r="B1109" s="74" t="s">
        <v>875</v>
      </c>
      <c r="C1109" s="81">
        <v>64</v>
      </c>
    </row>
    <row r="1110" spans="1:3" x14ac:dyDescent="0.2">
      <c r="A1110" s="90" t="s">
        <v>513</v>
      </c>
      <c r="B1110" s="74" t="s">
        <v>876</v>
      </c>
      <c r="C1110" s="81">
        <v>144</v>
      </c>
    </row>
    <row r="1111" spans="1:3" x14ac:dyDescent="0.2">
      <c r="A1111" s="90" t="s">
        <v>513</v>
      </c>
      <c r="B1111" s="74" t="s">
        <v>876</v>
      </c>
      <c r="C1111" s="81">
        <v>144</v>
      </c>
    </row>
    <row r="1112" spans="1:3" x14ac:dyDescent="0.2">
      <c r="A1112" s="90" t="s">
        <v>513</v>
      </c>
      <c r="B1112" s="74" t="s">
        <v>876</v>
      </c>
      <c r="C1112" s="81">
        <v>144</v>
      </c>
    </row>
    <row r="1113" spans="1:3" x14ac:dyDescent="0.2">
      <c r="A1113" s="90" t="s">
        <v>513</v>
      </c>
      <c r="B1113" s="74" t="s">
        <v>876</v>
      </c>
      <c r="C1113" s="81">
        <v>144</v>
      </c>
    </row>
    <row r="1114" spans="1:3" x14ac:dyDescent="0.2">
      <c r="A1114" s="90" t="s">
        <v>513</v>
      </c>
      <c r="B1114" s="74" t="s">
        <v>876</v>
      </c>
      <c r="C1114" s="81">
        <v>144</v>
      </c>
    </row>
    <row r="1115" spans="1:3" x14ac:dyDescent="0.2">
      <c r="A1115" s="90" t="s">
        <v>513</v>
      </c>
      <c r="B1115" s="74" t="s">
        <v>876</v>
      </c>
      <c r="C1115" s="81">
        <v>144</v>
      </c>
    </row>
    <row r="1116" spans="1:3" x14ac:dyDescent="0.2">
      <c r="A1116" s="90" t="s">
        <v>513</v>
      </c>
      <c r="B1116" s="74" t="s">
        <v>877</v>
      </c>
      <c r="C1116" s="81">
        <v>108</v>
      </c>
    </row>
    <row r="1117" spans="1:3" x14ac:dyDescent="0.2">
      <c r="A1117" s="90" t="s">
        <v>513</v>
      </c>
      <c r="B1117" s="74" t="s">
        <v>877</v>
      </c>
      <c r="C1117" s="81">
        <v>108</v>
      </c>
    </row>
    <row r="1118" spans="1:3" x14ac:dyDescent="0.2">
      <c r="A1118" s="90" t="s">
        <v>513</v>
      </c>
      <c r="B1118" s="74" t="s">
        <v>877</v>
      </c>
      <c r="C1118" s="81">
        <v>108</v>
      </c>
    </row>
    <row r="1119" spans="1:3" x14ac:dyDescent="0.2">
      <c r="A1119" s="90" t="s">
        <v>513</v>
      </c>
      <c r="B1119" s="74" t="s">
        <v>877</v>
      </c>
      <c r="C1119" s="81">
        <v>108</v>
      </c>
    </row>
    <row r="1120" spans="1:3" x14ac:dyDescent="0.2">
      <c r="A1120" s="90" t="s">
        <v>513</v>
      </c>
      <c r="B1120" s="74" t="s">
        <v>877</v>
      </c>
      <c r="C1120" s="81">
        <v>108</v>
      </c>
    </row>
    <row r="1121" spans="1:3" x14ac:dyDescent="0.2">
      <c r="A1121" s="90" t="s">
        <v>513</v>
      </c>
      <c r="B1121" s="74" t="s">
        <v>877</v>
      </c>
      <c r="C1121" s="81">
        <v>108</v>
      </c>
    </row>
    <row r="1122" spans="1:3" x14ac:dyDescent="0.2">
      <c r="A1122" s="90" t="s">
        <v>513</v>
      </c>
      <c r="B1122" s="74" t="s">
        <v>878</v>
      </c>
      <c r="C1122" s="81">
        <v>140</v>
      </c>
    </row>
    <row r="1123" spans="1:3" x14ac:dyDescent="0.2">
      <c r="A1123" s="90" t="s">
        <v>513</v>
      </c>
      <c r="B1123" s="74" t="s">
        <v>878</v>
      </c>
      <c r="C1123" s="81">
        <v>140</v>
      </c>
    </row>
    <row r="1124" spans="1:3" x14ac:dyDescent="0.2">
      <c r="A1124" s="90" t="s">
        <v>513</v>
      </c>
      <c r="B1124" s="74" t="s">
        <v>878</v>
      </c>
      <c r="C1124" s="81">
        <v>140</v>
      </c>
    </row>
    <row r="1125" spans="1:3" x14ac:dyDescent="0.2">
      <c r="A1125" s="90" t="s">
        <v>513</v>
      </c>
      <c r="B1125" s="74" t="s">
        <v>878</v>
      </c>
      <c r="C1125" s="81">
        <v>140</v>
      </c>
    </row>
    <row r="1126" spans="1:3" x14ac:dyDescent="0.2">
      <c r="A1126" s="90" t="s">
        <v>513</v>
      </c>
      <c r="B1126" s="74" t="s">
        <v>878</v>
      </c>
      <c r="C1126" s="81">
        <v>140</v>
      </c>
    </row>
    <row r="1127" spans="1:3" x14ac:dyDescent="0.2">
      <c r="A1127" s="90" t="s">
        <v>513</v>
      </c>
      <c r="B1127" s="74" t="s">
        <v>878</v>
      </c>
      <c r="C1127" s="81">
        <v>140</v>
      </c>
    </row>
    <row r="1128" spans="1:3" x14ac:dyDescent="0.2">
      <c r="A1128" s="90" t="s">
        <v>513</v>
      </c>
      <c r="B1128" s="74" t="s">
        <v>879</v>
      </c>
      <c r="C1128" s="81">
        <v>68</v>
      </c>
    </row>
    <row r="1129" spans="1:3" x14ac:dyDescent="0.2">
      <c r="A1129" s="90" t="s">
        <v>513</v>
      </c>
      <c r="B1129" s="74" t="s">
        <v>879</v>
      </c>
      <c r="C1129" s="81">
        <v>68</v>
      </c>
    </row>
    <row r="1130" spans="1:3" x14ac:dyDescent="0.2">
      <c r="A1130" s="90" t="s">
        <v>513</v>
      </c>
      <c r="B1130" s="74" t="s">
        <v>879</v>
      </c>
      <c r="C1130" s="81">
        <v>68</v>
      </c>
    </row>
    <row r="1131" spans="1:3" x14ac:dyDescent="0.2">
      <c r="A1131" s="90" t="s">
        <v>513</v>
      </c>
      <c r="B1131" s="74" t="s">
        <v>879</v>
      </c>
      <c r="C1131" s="81">
        <v>68</v>
      </c>
    </row>
    <row r="1132" spans="1:3" x14ac:dyDescent="0.2">
      <c r="A1132" s="90" t="s">
        <v>513</v>
      </c>
      <c r="B1132" s="74" t="s">
        <v>879</v>
      </c>
      <c r="C1132" s="81">
        <v>68</v>
      </c>
    </row>
    <row r="1133" spans="1:3" x14ac:dyDescent="0.2">
      <c r="A1133" s="90" t="s">
        <v>513</v>
      </c>
      <c r="B1133" s="74" t="s">
        <v>879</v>
      </c>
      <c r="C1133" s="81">
        <v>68</v>
      </c>
    </row>
    <row r="1134" spans="1:3" x14ac:dyDescent="0.2">
      <c r="A1134" s="90" t="s">
        <v>513</v>
      </c>
      <c r="B1134" s="74" t="s">
        <v>880</v>
      </c>
      <c r="C1134" s="81">
        <v>96</v>
      </c>
    </row>
    <row r="1135" spans="1:3" x14ac:dyDescent="0.2">
      <c r="A1135" s="90" t="s">
        <v>513</v>
      </c>
      <c r="B1135" s="74" t="s">
        <v>880</v>
      </c>
      <c r="C1135" s="81">
        <v>96</v>
      </c>
    </row>
    <row r="1136" spans="1:3" x14ac:dyDescent="0.2">
      <c r="A1136" s="90" t="s">
        <v>513</v>
      </c>
      <c r="B1136" s="74" t="s">
        <v>880</v>
      </c>
      <c r="C1136" s="81">
        <v>96</v>
      </c>
    </row>
    <row r="1137" spans="1:3" x14ac:dyDescent="0.2">
      <c r="A1137" s="90" t="s">
        <v>513</v>
      </c>
      <c r="B1137" s="74" t="s">
        <v>880</v>
      </c>
      <c r="C1137" s="81">
        <v>96</v>
      </c>
    </row>
    <row r="1138" spans="1:3" x14ac:dyDescent="0.2">
      <c r="A1138" s="90" t="s">
        <v>513</v>
      </c>
      <c r="B1138" s="74" t="s">
        <v>880</v>
      </c>
      <c r="C1138" s="81">
        <v>96</v>
      </c>
    </row>
    <row r="1139" spans="1:3" x14ac:dyDescent="0.2">
      <c r="A1139" s="90" t="s">
        <v>513</v>
      </c>
      <c r="B1139" s="74" t="s">
        <v>880</v>
      </c>
      <c r="C1139" s="81">
        <v>96</v>
      </c>
    </row>
    <row r="1140" spans="1:3" x14ac:dyDescent="0.2">
      <c r="A1140" s="90" t="s">
        <v>513</v>
      </c>
      <c r="B1140" s="74" t="s">
        <v>881</v>
      </c>
      <c r="C1140" s="81">
        <v>184</v>
      </c>
    </row>
    <row r="1141" spans="1:3" x14ac:dyDescent="0.2">
      <c r="A1141" s="90" t="s">
        <v>513</v>
      </c>
      <c r="B1141" s="74" t="s">
        <v>881</v>
      </c>
      <c r="C1141" s="81">
        <v>184</v>
      </c>
    </row>
    <row r="1142" spans="1:3" x14ac:dyDescent="0.2">
      <c r="A1142" s="90" t="s">
        <v>513</v>
      </c>
      <c r="B1142" s="74" t="s">
        <v>881</v>
      </c>
      <c r="C1142" s="81">
        <v>184</v>
      </c>
    </row>
    <row r="1143" spans="1:3" x14ac:dyDescent="0.2">
      <c r="A1143" s="90" t="s">
        <v>513</v>
      </c>
      <c r="B1143" s="74" t="s">
        <v>881</v>
      </c>
      <c r="C1143" s="81">
        <v>184</v>
      </c>
    </row>
    <row r="1144" spans="1:3" x14ac:dyDescent="0.2">
      <c r="A1144" s="90" t="s">
        <v>513</v>
      </c>
      <c r="B1144" s="74" t="s">
        <v>881</v>
      </c>
      <c r="C1144" s="81">
        <v>184</v>
      </c>
    </row>
    <row r="1145" spans="1:3" x14ac:dyDescent="0.2">
      <c r="A1145" s="90" t="s">
        <v>513</v>
      </c>
      <c r="B1145" s="74" t="s">
        <v>881</v>
      </c>
      <c r="C1145" s="81">
        <v>184</v>
      </c>
    </row>
    <row r="1146" spans="1:3" x14ac:dyDescent="0.2">
      <c r="A1146" s="90" t="s">
        <v>513</v>
      </c>
      <c r="B1146" s="74" t="s">
        <v>882</v>
      </c>
      <c r="C1146" s="81">
        <v>76</v>
      </c>
    </row>
    <row r="1147" spans="1:3" x14ac:dyDescent="0.2">
      <c r="A1147" s="90" t="s">
        <v>513</v>
      </c>
      <c r="B1147" s="74" t="s">
        <v>882</v>
      </c>
      <c r="C1147" s="81">
        <v>76</v>
      </c>
    </row>
    <row r="1148" spans="1:3" x14ac:dyDescent="0.2">
      <c r="A1148" s="90" t="s">
        <v>513</v>
      </c>
      <c r="B1148" s="74" t="s">
        <v>882</v>
      </c>
      <c r="C1148" s="81">
        <v>76</v>
      </c>
    </row>
    <row r="1149" spans="1:3" x14ac:dyDescent="0.2">
      <c r="A1149" s="90" t="s">
        <v>513</v>
      </c>
      <c r="B1149" s="74" t="s">
        <v>882</v>
      </c>
      <c r="C1149" s="81">
        <v>76</v>
      </c>
    </row>
    <row r="1150" spans="1:3" x14ac:dyDescent="0.2">
      <c r="A1150" s="90" t="s">
        <v>513</v>
      </c>
      <c r="B1150" s="74" t="s">
        <v>882</v>
      </c>
      <c r="C1150" s="81">
        <v>76</v>
      </c>
    </row>
    <row r="1151" spans="1:3" x14ac:dyDescent="0.2">
      <c r="A1151" s="90" t="s">
        <v>513</v>
      </c>
      <c r="B1151" s="74" t="s">
        <v>882</v>
      </c>
      <c r="C1151" s="81">
        <v>76</v>
      </c>
    </row>
    <row r="1152" spans="1:3" x14ac:dyDescent="0.2">
      <c r="A1152" s="90" t="s">
        <v>513</v>
      </c>
      <c r="B1152" s="74" t="s">
        <v>883</v>
      </c>
      <c r="C1152" s="81">
        <v>62.4</v>
      </c>
    </row>
    <row r="1153" spans="1:3" x14ac:dyDescent="0.2">
      <c r="A1153" s="90" t="s">
        <v>513</v>
      </c>
      <c r="B1153" s="74" t="s">
        <v>883</v>
      </c>
      <c r="C1153" s="81">
        <v>62.4</v>
      </c>
    </row>
    <row r="1154" spans="1:3" x14ac:dyDescent="0.2">
      <c r="A1154" s="90" t="s">
        <v>513</v>
      </c>
      <c r="B1154" s="74" t="s">
        <v>883</v>
      </c>
      <c r="C1154" s="81">
        <v>62.4</v>
      </c>
    </row>
    <row r="1155" spans="1:3" x14ac:dyDescent="0.2">
      <c r="A1155" s="90" t="s">
        <v>513</v>
      </c>
      <c r="B1155" s="74" t="s">
        <v>883</v>
      </c>
      <c r="C1155" s="81">
        <v>62.4</v>
      </c>
    </row>
    <row r="1156" spans="1:3" x14ac:dyDescent="0.2">
      <c r="A1156" s="90" t="s">
        <v>513</v>
      </c>
      <c r="B1156" s="74" t="s">
        <v>883</v>
      </c>
      <c r="C1156" s="81">
        <v>62.4</v>
      </c>
    </row>
    <row r="1157" spans="1:3" x14ac:dyDescent="0.2">
      <c r="A1157" s="90" t="s">
        <v>513</v>
      </c>
      <c r="B1157" s="74" t="s">
        <v>884</v>
      </c>
      <c r="C1157" s="81">
        <v>56</v>
      </c>
    </row>
    <row r="1158" spans="1:3" x14ac:dyDescent="0.2">
      <c r="A1158" s="90" t="s">
        <v>513</v>
      </c>
      <c r="B1158" s="74" t="s">
        <v>884</v>
      </c>
      <c r="C1158" s="81">
        <v>56</v>
      </c>
    </row>
    <row r="1159" spans="1:3" x14ac:dyDescent="0.2">
      <c r="A1159" s="90" t="s">
        <v>513</v>
      </c>
      <c r="B1159" s="74" t="s">
        <v>884</v>
      </c>
      <c r="C1159" s="81">
        <v>56</v>
      </c>
    </row>
    <row r="1160" spans="1:3" x14ac:dyDescent="0.2">
      <c r="A1160" s="90" t="s">
        <v>513</v>
      </c>
      <c r="B1160" s="74" t="s">
        <v>884</v>
      </c>
      <c r="C1160" s="81">
        <v>56</v>
      </c>
    </row>
    <row r="1161" spans="1:3" x14ac:dyDescent="0.2">
      <c r="A1161" s="90" t="s">
        <v>513</v>
      </c>
      <c r="B1161" s="74" t="s">
        <v>884</v>
      </c>
      <c r="C1161" s="81">
        <v>56</v>
      </c>
    </row>
    <row r="1162" spans="1:3" x14ac:dyDescent="0.2">
      <c r="A1162" s="90" t="s">
        <v>513</v>
      </c>
      <c r="B1162" s="74" t="s">
        <v>884</v>
      </c>
      <c r="C1162" s="81">
        <v>56</v>
      </c>
    </row>
    <row r="1163" spans="1:3" x14ac:dyDescent="0.2">
      <c r="A1163" s="90" t="s">
        <v>513</v>
      </c>
      <c r="B1163" s="74" t="s">
        <v>885</v>
      </c>
      <c r="C1163" s="81">
        <v>108</v>
      </c>
    </row>
    <row r="1164" spans="1:3" x14ac:dyDescent="0.2">
      <c r="A1164" s="90" t="s">
        <v>513</v>
      </c>
      <c r="B1164" s="74" t="s">
        <v>885</v>
      </c>
      <c r="C1164" s="81">
        <v>108</v>
      </c>
    </row>
    <row r="1165" spans="1:3" x14ac:dyDescent="0.2">
      <c r="A1165" s="90" t="s">
        <v>513</v>
      </c>
      <c r="B1165" s="74" t="s">
        <v>885</v>
      </c>
      <c r="C1165" s="81">
        <v>108</v>
      </c>
    </row>
    <row r="1166" spans="1:3" x14ac:dyDescent="0.2">
      <c r="A1166" s="90" t="s">
        <v>513</v>
      </c>
      <c r="B1166" s="74" t="s">
        <v>885</v>
      </c>
      <c r="C1166" s="81">
        <v>108</v>
      </c>
    </row>
    <row r="1167" spans="1:3" x14ac:dyDescent="0.2">
      <c r="A1167" s="90" t="s">
        <v>513</v>
      </c>
      <c r="B1167" s="74" t="s">
        <v>885</v>
      </c>
      <c r="C1167" s="81">
        <v>108</v>
      </c>
    </row>
    <row r="1168" spans="1:3" x14ac:dyDescent="0.2">
      <c r="A1168" s="90" t="s">
        <v>513</v>
      </c>
      <c r="B1168" s="74" t="s">
        <v>885</v>
      </c>
      <c r="C1168" s="81">
        <v>108</v>
      </c>
    </row>
    <row r="1169" spans="1:3" x14ac:dyDescent="0.2">
      <c r="A1169" s="90" t="s">
        <v>513</v>
      </c>
      <c r="B1169" s="74" t="s">
        <v>882</v>
      </c>
      <c r="C1169" s="81">
        <v>120</v>
      </c>
    </row>
    <row r="1170" spans="1:3" x14ac:dyDescent="0.2">
      <c r="A1170" s="90" t="s">
        <v>513</v>
      </c>
      <c r="B1170" s="74" t="s">
        <v>882</v>
      </c>
      <c r="C1170" s="81">
        <v>120</v>
      </c>
    </row>
    <row r="1171" spans="1:3" x14ac:dyDescent="0.2">
      <c r="A1171" s="90" t="s">
        <v>513</v>
      </c>
      <c r="B1171" s="74" t="s">
        <v>882</v>
      </c>
      <c r="C1171" s="81">
        <v>120</v>
      </c>
    </row>
    <row r="1172" spans="1:3" x14ac:dyDescent="0.2">
      <c r="A1172" s="90" t="s">
        <v>513</v>
      </c>
      <c r="B1172" s="74" t="s">
        <v>882</v>
      </c>
      <c r="C1172" s="81">
        <v>120</v>
      </c>
    </row>
    <row r="1173" spans="1:3" x14ac:dyDescent="0.2">
      <c r="A1173" s="90" t="s">
        <v>513</v>
      </c>
      <c r="B1173" s="74" t="s">
        <v>882</v>
      </c>
      <c r="C1173" s="81">
        <v>120</v>
      </c>
    </row>
    <row r="1174" spans="1:3" x14ac:dyDescent="0.2">
      <c r="A1174" s="90" t="s">
        <v>513</v>
      </c>
      <c r="B1174" s="74" t="s">
        <v>882</v>
      </c>
      <c r="C1174" s="81">
        <v>120</v>
      </c>
    </row>
    <row r="1175" spans="1:3" x14ac:dyDescent="0.2">
      <c r="A1175" s="90" t="s">
        <v>513</v>
      </c>
      <c r="B1175" s="74" t="s">
        <v>886</v>
      </c>
      <c r="C1175" s="81">
        <v>72</v>
      </c>
    </row>
    <row r="1176" spans="1:3" x14ac:dyDescent="0.2">
      <c r="A1176" s="90" t="s">
        <v>513</v>
      </c>
      <c r="B1176" s="74" t="s">
        <v>886</v>
      </c>
      <c r="C1176" s="81">
        <v>72</v>
      </c>
    </row>
    <row r="1177" spans="1:3" x14ac:dyDescent="0.2">
      <c r="A1177" s="90" t="s">
        <v>513</v>
      </c>
      <c r="B1177" s="74" t="s">
        <v>886</v>
      </c>
      <c r="C1177" s="81">
        <v>72</v>
      </c>
    </row>
    <row r="1178" spans="1:3" x14ac:dyDescent="0.2">
      <c r="A1178" s="90" t="s">
        <v>513</v>
      </c>
      <c r="B1178" s="74" t="s">
        <v>886</v>
      </c>
      <c r="C1178" s="81">
        <v>72</v>
      </c>
    </row>
    <row r="1179" spans="1:3" x14ac:dyDescent="0.2">
      <c r="A1179" s="90" t="s">
        <v>513</v>
      </c>
      <c r="B1179" s="74" t="s">
        <v>886</v>
      </c>
      <c r="C1179" s="81">
        <v>72</v>
      </c>
    </row>
    <row r="1180" spans="1:3" x14ac:dyDescent="0.2">
      <c r="A1180" s="90" t="s">
        <v>513</v>
      </c>
      <c r="B1180" s="74" t="s">
        <v>886</v>
      </c>
      <c r="C1180" s="81">
        <v>72</v>
      </c>
    </row>
    <row r="1181" spans="1:3" x14ac:dyDescent="0.2">
      <c r="A1181" s="90" t="s">
        <v>513</v>
      </c>
      <c r="B1181" s="74" t="s">
        <v>887</v>
      </c>
      <c r="C1181" s="81">
        <v>72</v>
      </c>
    </row>
    <row r="1182" spans="1:3" x14ac:dyDescent="0.2">
      <c r="A1182" s="90" t="s">
        <v>513</v>
      </c>
      <c r="B1182" s="74" t="s">
        <v>887</v>
      </c>
      <c r="C1182" s="81">
        <v>72</v>
      </c>
    </row>
    <row r="1183" spans="1:3" x14ac:dyDescent="0.2">
      <c r="A1183" s="90" t="s">
        <v>513</v>
      </c>
      <c r="B1183" s="74" t="s">
        <v>887</v>
      </c>
      <c r="C1183" s="81">
        <v>72</v>
      </c>
    </row>
    <row r="1184" spans="1:3" x14ac:dyDescent="0.2">
      <c r="A1184" s="90" t="s">
        <v>513</v>
      </c>
      <c r="B1184" s="74" t="s">
        <v>887</v>
      </c>
      <c r="C1184" s="81">
        <v>72</v>
      </c>
    </row>
    <row r="1185" spans="1:3" x14ac:dyDescent="0.2">
      <c r="A1185" s="90" t="s">
        <v>513</v>
      </c>
      <c r="B1185" s="74" t="s">
        <v>887</v>
      </c>
      <c r="C1185" s="81">
        <v>72</v>
      </c>
    </row>
    <row r="1186" spans="1:3" x14ac:dyDescent="0.2">
      <c r="A1186" s="90" t="s">
        <v>513</v>
      </c>
      <c r="B1186" s="74" t="s">
        <v>887</v>
      </c>
      <c r="C1186" s="81">
        <v>72</v>
      </c>
    </row>
    <row r="1187" spans="1:3" x14ac:dyDescent="0.2">
      <c r="A1187" s="90" t="s">
        <v>513</v>
      </c>
      <c r="B1187" s="74" t="s">
        <v>888</v>
      </c>
      <c r="C1187" s="81">
        <v>115.2</v>
      </c>
    </row>
    <row r="1188" spans="1:3" x14ac:dyDescent="0.2">
      <c r="A1188" s="90" t="s">
        <v>513</v>
      </c>
      <c r="B1188" s="74" t="s">
        <v>888</v>
      </c>
      <c r="C1188" s="81">
        <v>115.2</v>
      </c>
    </row>
    <row r="1189" spans="1:3" x14ac:dyDescent="0.2">
      <c r="A1189" s="90" t="s">
        <v>513</v>
      </c>
      <c r="B1189" s="74" t="s">
        <v>888</v>
      </c>
      <c r="C1189" s="81">
        <v>115.2</v>
      </c>
    </row>
    <row r="1190" spans="1:3" x14ac:dyDescent="0.2">
      <c r="A1190" s="90" t="s">
        <v>513</v>
      </c>
      <c r="B1190" s="74" t="s">
        <v>888</v>
      </c>
      <c r="C1190" s="81">
        <v>115.2</v>
      </c>
    </row>
    <row r="1191" spans="1:3" x14ac:dyDescent="0.2">
      <c r="A1191" s="90" t="s">
        <v>513</v>
      </c>
      <c r="B1191" s="74" t="s">
        <v>888</v>
      </c>
      <c r="C1191" s="81">
        <v>115.2</v>
      </c>
    </row>
    <row r="1192" spans="1:3" x14ac:dyDescent="0.2">
      <c r="A1192" s="90" t="s">
        <v>513</v>
      </c>
      <c r="B1192" s="74" t="s">
        <v>888</v>
      </c>
      <c r="C1192" s="81">
        <v>115.2</v>
      </c>
    </row>
    <row r="1193" spans="1:3" x14ac:dyDescent="0.2">
      <c r="A1193" s="90" t="s">
        <v>513</v>
      </c>
      <c r="B1193" s="74" t="s">
        <v>889</v>
      </c>
      <c r="C1193" s="81">
        <v>88</v>
      </c>
    </row>
    <row r="1194" spans="1:3" x14ac:dyDescent="0.2">
      <c r="A1194" s="90" t="s">
        <v>513</v>
      </c>
      <c r="B1194" s="74" t="s">
        <v>889</v>
      </c>
      <c r="C1194" s="81">
        <v>88</v>
      </c>
    </row>
    <row r="1195" spans="1:3" x14ac:dyDescent="0.2">
      <c r="A1195" s="90" t="s">
        <v>513</v>
      </c>
      <c r="B1195" s="74" t="s">
        <v>889</v>
      </c>
      <c r="C1195" s="81">
        <v>88</v>
      </c>
    </row>
    <row r="1196" spans="1:3" x14ac:dyDescent="0.2">
      <c r="A1196" s="90" t="s">
        <v>513</v>
      </c>
      <c r="B1196" s="74" t="s">
        <v>889</v>
      </c>
      <c r="C1196" s="81">
        <v>88</v>
      </c>
    </row>
    <row r="1197" spans="1:3" x14ac:dyDescent="0.2">
      <c r="A1197" s="90" t="s">
        <v>513</v>
      </c>
      <c r="B1197" s="74" t="s">
        <v>889</v>
      </c>
      <c r="C1197" s="81">
        <v>88</v>
      </c>
    </row>
    <row r="1198" spans="1:3" x14ac:dyDescent="0.2">
      <c r="A1198" s="90" t="s">
        <v>513</v>
      </c>
      <c r="B1198" s="74" t="s">
        <v>889</v>
      </c>
      <c r="C1198" s="81">
        <v>88</v>
      </c>
    </row>
    <row r="1199" spans="1:3" x14ac:dyDescent="0.2">
      <c r="A1199" s="90" t="s">
        <v>513</v>
      </c>
      <c r="B1199" s="74" t="s">
        <v>890</v>
      </c>
      <c r="C1199" s="81">
        <v>88</v>
      </c>
    </row>
    <row r="1200" spans="1:3" x14ac:dyDescent="0.2">
      <c r="A1200" s="90" t="s">
        <v>513</v>
      </c>
      <c r="B1200" s="74" t="s">
        <v>890</v>
      </c>
      <c r="C1200" s="81">
        <v>88</v>
      </c>
    </row>
    <row r="1201" spans="1:3" x14ac:dyDescent="0.2">
      <c r="A1201" s="90" t="s">
        <v>513</v>
      </c>
      <c r="B1201" s="74" t="s">
        <v>890</v>
      </c>
      <c r="C1201" s="81">
        <v>88</v>
      </c>
    </row>
    <row r="1202" spans="1:3" x14ac:dyDescent="0.2">
      <c r="A1202" s="90" t="s">
        <v>513</v>
      </c>
      <c r="B1202" s="74" t="s">
        <v>890</v>
      </c>
      <c r="C1202" s="81">
        <v>88</v>
      </c>
    </row>
    <row r="1203" spans="1:3" x14ac:dyDescent="0.2">
      <c r="A1203" s="90" t="s">
        <v>513</v>
      </c>
      <c r="B1203" s="74" t="s">
        <v>890</v>
      </c>
      <c r="C1203" s="81">
        <v>88</v>
      </c>
    </row>
    <row r="1204" spans="1:3" x14ac:dyDescent="0.2">
      <c r="A1204" s="90" t="s">
        <v>513</v>
      </c>
      <c r="B1204" s="74" t="s">
        <v>890</v>
      </c>
      <c r="C1204" s="81">
        <v>88</v>
      </c>
    </row>
    <row r="1205" spans="1:3" x14ac:dyDescent="0.2">
      <c r="A1205" s="90" t="s">
        <v>513</v>
      </c>
      <c r="B1205" s="74" t="s">
        <v>891</v>
      </c>
      <c r="C1205" s="81">
        <v>136</v>
      </c>
    </row>
    <row r="1206" spans="1:3" x14ac:dyDescent="0.2">
      <c r="A1206" s="90" t="s">
        <v>513</v>
      </c>
      <c r="B1206" s="74" t="s">
        <v>891</v>
      </c>
      <c r="C1206" s="81">
        <v>136</v>
      </c>
    </row>
    <row r="1207" spans="1:3" x14ac:dyDescent="0.2">
      <c r="A1207" s="90" t="s">
        <v>513</v>
      </c>
      <c r="B1207" s="74" t="s">
        <v>891</v>
      </c>
      <c r="C1207" s="81">
        <v>136</v>
      </c>
    </row>
    <row r="1208" spans="1:3" x14ac:dyDescent="0.2">
      <c r="A1208" s="90" t="s">
        <v>513</v>
      </c>
      <c r="B1208" s="74" t="s">
        <v>891</v>
      </c>
      <c r="C1208" s="81">
        <v>136</v>
      </c>
    </row>
    <row r="1209" spans="1:3" x14ac:dyDescent="0.2">
      <c r="A1209" s="90" t="s">
        <v>513</v>
      </c>
      <c r="B1209" s="74" t="s">
        <v>891</v>
      </c>
      <c r="C1209" s="81">
        <v>136</v>
      </c>
    </row>
    <row r="1210" spans="1:3" x14ac:dyDescent="0.2">
      <c r="A1210" s="90" t="s">
        <v>513</v>
      </c>
      <c r="B1210" s="74" t="s">
        <v>891</v>
      </c>
      <c r="C1210" s="81">
        <v>136</v>
      </c>
    </row>
    <row r="1211" spans="1:3" x14ac:dyDescent="0.2">
      <c r="A1211" s="90" t="s">
        <v>513</v>
      </c>
      <c r="B1211" s="74" t="s">
        <v>892</v>
      </c>
      <c r="C1211" s="81">
        <v>128</v>
      </c>
    </row>
    <row r="1212" spans="1:3" x14ac:dyDescent="0.2">
      <c r="A1212" s="90" t="s">
        <v>513</v>
      </c>
      <c r="B1212" s="74" t="s">
        <v>892</v>
      </c>
      <c r="C1212" s="81">
        <v>128</v>
      </c>
    </row>
    <row r="1213" spans="1:3" x14ac:dyDescent="0.2">
      <c r="A1213" s="90" t="s">
        <v>513</v>
      </c>
      <c r="B1213" s="74" t="s">
        <v>892</v>
      </c>
      <c r="C1213" s="81">
        <v>128</v>
      </c>
    </row>
    <row r="1214" spans="1:3" x14ac:dyDescent="0.2">
      <c r="A1214" s="90" t="s">
        <v>513</v>
      </c>
      <c r="B1214" s="74" t="s">
        <v>892</v>
      </c>
      <c r="C1214" s="81">
        <v>128</v>
      </c>
    </row>
    <row r="1215" spans="1:3" x14ac:dyDescent="0.2">
      <c r="A1215" s="90" t="s">
        <v>513</v>
      </c>
      <c r="B1215" s="74" t="s">
        <v>892</v>
      </c>
      <c r="C1215" s="81">
        <v>128</v>
      </c>
    </row>
    <row r="1216" spans="1:3" x14ac:dyDescent="0.2">
      <c r="A1216" s="90" t="s">
        <v>513</v>
      </c>
      <c r="B1216" s="74" t="s">
        <v>892</v>
      </c>
      <c r="C1216" s="81">
        <v>128</v>
      </c>
    </row>
    <row r="1217" spans="1:3" x14ac:dyDescent="0.2">
      <c r="A1217" s="90" t="s">
        <v>513</v>
      </c>
      <c r="B1217" s="74" t="s">
        <v>893</v>
      </c>
      <c r="C1217" s="81">
        <v>184</v>
      </c>
    </row>
    <row r="1218" spans="1:3" x14ac:dyDescent="0.2">
      <c r="A1218" s="90" t="s">
        <v>513</v>
      </c>
      <c r="B1218" s="74" t="s">
        <v>893</v>
      </c>
      <c r="C1218" s="81">
        <v>184</v>
      </c>
    </row>
    <row r="1219" spans="1:3" x14ac:dyDescent="0.2">
      <c r="A1219" s="90" t="s">
        <v>513</v>
      </c>
      <c r="B1219" s="74" t="s">
        <v>893</v>
      </c>
      <c r="C1219" s="81">
        <v>184</v>
      </c>
    </row>
    <row r="1220" spans="1:3" x14ac:dyDescent="0.2">
      <c r="A1220" s="90" t="s">
        <v>513</v>
      </c>
      <c r="B1220" s="74" t="s">
        <v>893</v>
      </c>
      <c r="C1220" s="81">
        <v>184</v>
      </c>
    </row>
    <row r="1221" spans="1:3" x14ac:dyDescent="0.2">
      <c r="A1221" s="90" t="s">
        <v>513</v>
      </c>
      <c r="B1221" s="74" t="s">
        <v>893</v>
      </c>
      <c r="C1221" s="81">
        <v>184</v>
      </c>
    </row>
    <row r="1222" spans="1:3" x14ac:dyDescent="0.2">
      <c r="A1222" s="90" t="s">
        <v>513</v>
      </c>
      <c r="B1222" s="74" t="s">
        <v>893</v>
      </c>
      <c r="C1222" s="81">
        <v>184</v>
      </c>
    </row>
    <row r="1223" spans="1:3" x14ac:dyDescent="0.2">
      <c r="A1223" s="90" t="s">
        <v>513</v>
      </c>
      <c r="B1223" s="74" t="s">
        <v>894</v>
      </c>
      <c r="C1223" s="81">
        <v>112</v>
      </c>
    </row>
    <row r="1224" spans="1:3" x14ac:dyDescent="0.2">
      <c r="A1224" s="90" t="s">
        <v>513</v>
      </c>
      <c r="B1224" s="74" t="s">
        <v>895</v>
      </c>
      <c r="C1224" s="81">
        <v>112</v>
      </c>
    </row>
    <row r="1225" spans="1:3" x14ac:dyDescent="0.2">
      <c r="A1225" s="90" t="s">
        <v>513</v>
      </c>
      <c r="B1225" s="74" t="s">
        <v>895</v>
      </c>
      <c r="C1225" s="81">
        <v>112</v>
      </c>
    </row>
    <row r="1226" spans="1:3" x14ac:dyDescent="0.2">
      <c r="A1226" s="90" t="s">
        <v>513</v>
      </c>
      <c r="B1226" s="74" t="s">
        <v>895</v>
      </c>
      <c r="C1226" s="81">
        <v>112</v>
      </c>
    </row>
    <row r="1227" spans="1:3" x14ac:dyDescent="0.2">
      <c r="A1227" s="90" t="s">
        <v>513</v>
      </c>
      <c r="B1227" s="74" t="s">
        <v>895</v>
      </c>
      <c r="C1227" s="81">
        <v>112</v>
      </c>
    </row>
    <row r="1228" spans="1:3" x14ac:dyDescent="0.2">
      <c r="A1228" s="90" t="s">
        <v>513</v>
      </c>
      <c r="B1228" s="74" t="s">
        <v>895</v>
      </c>
      <c r="C1228" s="81">
        <v>112</v>
      </c>
    </row>
    <row r="1229" spans="1:3" x14ac:dyDescent="0.2">
      <c r="A1229" s="90" t="s">
        <v>513</v>
      </c>
      <c r="B1229" s="74" t="s">
        <v>896</v>
      </c>
      <c r="C1229" s="81">
        <v>84</v>
      </c>
    </row>
    <row r="1230" spans="1:3" x14ac:dyDescent="0.2">
      <c r="A1230" s="90" t="s">
        <v>513</v>
      </c>
      <c r="B1230" s="74" t="s">
        <v>896</v>
      </c>
      <c r="C1230" s="81">
        <v>84</v>
      </c>
    </row>
    <row r="1231" spans="1:3" x14ac:dyDescent="0.2">
      <c r="A1231" s="90" t="s">
        <v>513</v>
      </c>
      <c r="B1231" s="74" t="s">
        <v>896</v>
      </c>
      <c r="C1231" s="81">
        <v>84</v>
      </c>
    </row>
    <row r="1232" spans="1:3" x14ac:dyDescent="0.2">
      <c r="A1232" s="90" t="s">
        <v>513</v>
      </c>
      <c r="B1232" s="74" t="s">
        <v>896</v>
      </c>
      <c r="C1232" s="81">
        <v>84</v>
      </c>
    </row>
    <row r="1233" spans="1:3" x14ac:dyDescent="0.2">
      <c r="A1233" s="90" t="s">
        <v>513</v>
      </c>
      <c r="B1233" s="74" t="s">
        <v>896</v>
      </c>
      <c r="C1233" s="81">
        <v>84</v>
      </c>
    </row>
    <row r="1234" spans="1:3" x14ac:dyDescent="0.2">
      <c r="A1234" s="90" t="s">
        <v>513</v>
      </c>
      <c r="B1234" s="74" t="s">
        <v>896</v>
      </c>
      <c r="C1234" s="81">
        <v>84</v>
      </c>
    </row>
    <row r="1235" spans="1:3" x14ac:dyDescent="0.2">
      <c r="A1235" s="90" t="s">
        <v>513</v>
      </c>
      <c r="B1235" s="74" t="s">
        <v>897</v>
      </c>
      <c r="C1235" s="81">
        <v>84</v>
      </c>
    </row>
    <row r="1236" spans="1:3" x14ac:dyDescent="0.2">
      <c r="A1236" s="90" t="s">
        <v>513</v>
      </c>
      <c r="B1236" s="74" t="s">
        <v>897</v>
      </c>
      <c r="C1236" s="81">
        <v>84</v>
      </c>
    </row>
    <row r="1237" spans="1:3" x14ac:dyDescent="0.2">
      <c r="A1237" s="90" t="s">
        <v>513</v>
      </c>
      <c r="B1237" s="74" t="s">
        <v>897</v>
      </c>
      <c r="C1237" s="81">
        <v>84</v>
      </c>
    </row>
    <row r="1238" spans="1:3" x14ac:dyDescent="0.2">
      <c r="A1238" s="90" t="s">
        <v>513</v>
      </c>
      <c r="B1238" s="74" t="s">
        <v>897</v>
      </c>
      <c r="C1238" s="81">
        <v>84</v>
      </c>
    </row>
    <row r="1239" spans="1:3" x14ac:dyDescent="0.2">
      <c r="A1239" s="90" t="s">
        <v>513</v>
      </c>
      <c r="B1239" s="74" t="s">
        <v>897</v>
      </c>
      <c r="C1239" s="81">
        <v>84</v>
      </c>
    </row>
    <row r="1240" spans="1:3" x14ac:dyDescent="0.2">
      <c r="A1240" s="90" t="s">
        <v>513</v>
      </c>
      <c r="B1240" s="74" t="s">
        <v>897</v>
      </c>
      <c r="C1240" s="81">
        <v>84</v>
      </c>
    </row>
    <row r="1241" spans="1:3" x14ac:dyDescent="0.2">
      <c r="A1241" s="90" t="s">
        <v>513</v>
      </c>
      <c r="B1241" s="74" t="s">
        <v>898</v>
      </c>
      <c r="C1241" s="81">
        <v>68</v>
      </c>
    </row>
    <row r="1242" spans="1:3" x14ac:dyDescent="0.2">
      <c r="A1242" s="90" t="s">
        <v>513</v>
      </c>
      <c r="B1242" s="74" t="s">
        <v>898</v>
      </c>
      <c r="C1242" s="81">
        <v>68</v>
      </c>
    </row>
    <row r="1243" spans="1:3" x14ac:dyDescent="0.2">
      <c r="A1243" s="90" t="s">
        <v>513</v>
      </c>
      <c r="B1243" s="74" t="s">
        <v>898</v>
      </c>
      <c r="C1243" s="81">
        <v>68</v>
      </c>
    </row>
    <row r="1244" spans="1:3" x14ac:dyDescent="0.2">
      <c r="A1244" s="90" t="s">
        <v>513</v>
      </c>
      <c r="B1244" s="74" t="s">
        <v>898</v>
      </c>
      <c r="C1244" s="81">
        <v>68</v>
      </c>
    </row>
    <row r="1245" spans="1:3" x14ac:dyDescent="0.2">
      <c r="A1245" s="90" t="s">
        <v>513</v>
      </c>
      <c r="B1245" s="74" t="s">
        <v>898</v>
      </c>
      <c r="C1245" s="81">
        <v>68</v>
      </c>
    </row>
    <row r="1246" spans="1:3" x14ac:dyDescent="0.2">
      <c r="A1246" s="90" t="s">
        <v>513</v>
      </c>
      <c r="B1246" s="74" t="s">
        <v>898</v>
      </c>
      <c r="C1246" s="81">
        <v>68</v>
      </c>
    </row>
    <row r="1247" spans="1:3" x14ac:dyDescent="0.2">
      <c r="A1247" s="90" t="s">
        <v>513</v>
      </c>
      <c r="B1247" s="74" t="s">
        <v>899</v>
      </c>
      <c r="C1247" s="81">
        <v>48</v>
      </c>
    </row>
    <row r="1248" spans="1:3" x14ac:dyDescent="0.2">
      <c r="A1248" s="90" t="s">
        <v>513</v>
      </c>
      <c r="B1248" s="74" t="s">
        <v>899</v>
      </c>
      <c r="C1248" s="81">
        <v>48</v>
      </c>
    </row>
    <row r="1249" spans="1:3" x14ac:dyDescent="0.2">
      <c r="A1249" s="90" t="s">
        <v>513</v>
      </c>
      <c r="B1249" s="74" t="s">
        <v>899</v>
      </c>
      <c r="C1249" s="81">
        <v>48</v>
      </c>
    </row>
    <row r="1250" spans="1:3" x14ac:dyDescent="0.2">
      <c r="A1250" s="90" t="s">
        <v>513</v>
      </c>
      <c r="B1250" s="74" t="s">
        <v>899</v>
      </c>
      <c r="C1250" s="81">
        <v>48</v>
      </c>
    </row>
    <row r="1251" spans="1:3" x14ac:dyDescent="0.2">
      <c r="A1251" s="90" t="s">
        <v>513</v>
      </c>
      <c r="B1251" s="74" t="s">
        <v>899</v>
      </c>
      <c r="C1251" s="81">
        <v>48</v>
      </c>
    </row>
    <row r="1252" spans="1:3" x14ac:dyDescent="0.2">
      <c r="A1252" s="90" t="s">
        <v>513</v>
      </c>
      <c r="B1252" s="74" t="s">
        <v>899</v>
      </c>
      <c r="C1252" s="81">
        <v>48</v>
      </c>
    </row>
    <row r="1253" spans="1:3" x14ac:dyDescent="0.2">
      <c r="A1253" s="90" t="s">
        <v>513</v>
      </c>
      <c r="B1253" s="74" t="s">
        <v>900</v>
      </c>
      <c r="C1253" s="81">
        <v>68</v>
      </c>
    </row>
    <row r="1254" spans="1:3" x14ac:dyDescent="0.2">
      <c r="A1254" s="90" t="s">
        <v>513</v>
      </c>
      <c r="B1254" s="74" t="s">
        <v>900</v>
      </c>
      <c r="C1254" s="81">
        <v>68</v>
      </c>
    </row>
    <row r="1255" spans="1:3" x14ac:dyDescent="0.2">
      <c r="A1255" s="90" t="s">
        <v>513</v>
      </c>
      <c r="B1255" s="74" t="s">
        <v>900</v>
      </c>
      <c r="C1255" s="81">
        <v>68</v>
      </c>
    </row>
    <row r="1256" spans="1:3" x14ac:dyDescent="0.2">
      <c r="A1256" s="90" t="s">
        <v>513</v>
      </c>
      <c r="B1256" s="74" t="s">
        <v>900</v>
      </c>
      <c r="C1256" s="81">
        <v>68</v>
      </c>
    </row>
    <row r="1257" spans="1:3" x14ac:dyDescent="0.2">
      <c r="A1257" s="90" t="s">
        <v>513</v>
      </c>
      <c r="B1257" s="74" t="s">
        <v>900</v>
      </c>
      <c r="C1257" s="81">
        <v>68</v>
      </c>
    </row>
    <row r="1258" spans="1:3" x14ac:dyDescent="0.2">
      <c r="A1258" s="90" t="s">
        <v>513</v>
      </c>
      <c r="B1258" s="74" t="s">
        <v>900</v>
      </c>
      <c r="C1258" s="81">
        <v>68</v>
      </c>
    </row>
    <row r="1259" spans="1:3" x14ac:dyDescent="0.2">
      <c r="A1259" s="90" t="s">
        <v>513</v>
      </c>
      <c r="B1259" s="74" t="s">
        <v>901</v>
      </c>
      <c r="C1259" s="81">
        <v>104</v>
      </c>
    </row>
    <row r="1260" spans="1:3" x14ac:dyDescent="0.2">
      <c r="A1260" s="90" t="s">
        <v>513</v>
      </c>
      <c r="B1260" s="74" t="s">
        <v>901</v>
      </c>
      <c r="C1260" s="81">
        <v>104</v>
      </c>
    </row>
    <row r="1261" spans="1:3" x14ac:dyDescent="0.2">
      <c r="A1261" s="90" t="s">
        <v>513</v>
      </c>
      <c r="B1261" s="74" t="s">
        <v>901</v>
      </c>
      <c r="C1261" s="81">
        <v>104</v>
      </c>
    </row>
    <row r="1262" spans="1:3" x14ac:dyDescent="0.2">
      <c r="A1262" s="90" t="s">
        <v>513</v>
      </c>
      <c r="B1262" s="74" t="s">
        <v>901</v>
      </c>
      <c r="C1262" s="81">
        <v>104</v>
      </c>
    </row>
    <row r="1263" spans="1:3" x14ac:dyDescent="0.2">
      <c r="A1263" s="90" t="s">
        <v>513</v>
      </c>
      <c r="B1263" s="74" t="s">
        <v>901</v>
      </c>
      <c r="C1263" s="81">
        <v>104</v>
      </c>
    </row>
    <row r="1264" spans="1:3" x14ac:dyDescent="0.2">
      <c r="A1264" s="90" t="s">
        <v>513</v>
      </c>
      <c r="B1264" s="74" t="s">
        <v>901</v>
      </c>
      <c r="C1264" s="81">
        <v>104</v>
      </c>
    </row>
    <row r="1265" spans="1:3" x14ac:dyDescent="0.2">
      <c r="A1265" s="90" t="s">
        <v>513</v>
      </c>
      <c r="B1265" s="74" t="s">
        <v>902</v>
      </c>
      <c r="C1265" s="81">
        <v>96</v>
      </c>
    </row>
    <row r="1266" spans="1:3" x14ac:dyDescent="0.2">
      <c r="A1266" s="90" t="s">
        <v>513</v>
      </c>
      <c r="B1266" s="74" t="s">
        <v>902</v>
      </c>
      <c r="C1266" s="81">
        <v>96</v>
      </c>
    </row>
    <row r="1267" spans="1:3" x14ac:dyDescent="0.2">
      <c r="A1267" s="90" t="s">
        <v>513</v>
      </c>
      <c r="B1267" s="74" t="s">
        <v>902</v>
      </c>
      <c r="C1267" s="81">
        <v>96</v>
      </c>
    </row>
    <row r="1268" spans="1:3" x14ac:dyDescent="0.2">
      <c r="A1268" s="90" t="s">
        <v>513</v>
      </c>
      <c r="B1268" s="74" t="s">
        <v>902</v>
      </c>
      <c r="C1268" s="81">
        <v>96</v>
      </c>
    </row>
    <row r="1269" spans="1:3" x14ac:dyDescent="0.2">
      <c r="A1269" s="90" t="s">
        <v>513</v>
      </c>
      <c r="B1269" s="74" t="s">
        <v>902</v>
      </c>
      <c r="C1269" s="81">
        <v>96</v>
      </c>
    </row>
    <row r="1270" spans="1:3" x14ac:dyDescent="0.2">
      <c r="A1270" s="90" t="s">
        <v>513</v>
      </c>
      <c r="B1270" s="74" t="s">
        <v>902</v>
      </c>
      <c r="C1270" s="81">
        <v>96</v>
      </c>
    </row>
    <row r="1271" spans="1:3" x14ac:dyDescent="0.2">
      <c r="A1271" s="90" t="s">
        <v>513</v>
      </c>
      <c r="B1271" s="74" t="s">
        <v>903</v>
      </c>
      <c r="C1271" s="81">
        <v>88</v>
      </c>
    </row>
    <row r="1272" spans="1:3" x14ac:dyDescent="0.2">
      <c r="A1272" s="90" t="s">
        <v>513</v>
      </c>
      <c r="B1272" s="74" t="s">
        <v>903</v>
      </c>
      <c r="C1272" s="81">
        <v>88</v>
      </c>
    </row>
    <row r="1273" spans="1:3" x14ac:dyDescent="0.2">
      <c r="A1273" s="90" t="s">
        <v>513</v>
      </c>
      <c r="B1273" s="74" t="s">
        <v>903</v>
      </c>
      <c r="C1273" s="81">
        <v>88</v>
      </c>
    </row>
    <row r="1274" spans="1:3" x14ac:dyDescent="0.2">
      <c r="A1274" s="90" t="s">
        <v>513</v>
      </c>
      <c r="B1274" s="74" t="s">
        <v>903</v>
      </c>
      <c r="C1274" s="81">
        <v>88</v>
      </c>
    </row>
    <row r="1275" spans="1:3" x14ac:dyDescent="0.2">
      <c r="A1275" s="90" t="s">
        <v>513</v>
      </c>
      <c r="B1275" s="74" t="s">
        <v>903</v>
      </c>
      <c r="C1275" s="81">
        <v>88</v>
      </c>
    </row>
    <row r="1276" spans="1:3" x14ac:dyDescent="0.2">
      <c r="A1276" s="90" t="s">
        <v>513</v>
      </c>
      <c r="B1276" s="74" t="s">
        <v>903</v>
      </c>
      <c r="C1276" s="81">
        <v>88</v>
      </c>
    </row>
    <row r="1277" spans="1:3" x14ac:dyDescent="0.2">
      <c r="A1277" s="90" t="s">
        <v>513</v>
      </c>
      <c r="B1277" s="74" t="s">
        <v>904</v>
      </c>
      <c r="C1277" s="81">
        <v>152</v>
      </c>
    </row>
    <row r="1278" spans="1:3" x14ac:dyDescent="0.2">
      <c r="A1278" s="90" t="s">
        <v>513</v>
      </c>
      <c r="B1278" s="74" t="s">
        <v>904</v>
      </c>
      <c r="C1278" s="81">
        <v>152</v>
      </c>
    </row>
    <row r="1279" spans="1:3" x14ac:dyDescent="0.2">
      <c r="A1279" s="90" t="s">
        <v>513</v>
      </c>
      <c r="B1279" s="74" t="s">
        <v>904</v>
      </c>
      <c r="C1279" s="81">
        <v>152</v>
      </c>
    </row>
    <row r="1280" spans="1:3" x14ac:dyDescent="0.2">
      <c r="A1280" s="90" t="s">
        <v>513</v>
      </c>
      <c r="B1280" s="74" t="s">
        <v>904</v>
      </c>
      <c r="C1280" s="81">
        <v>152</v>
      </c>
    </row>
    <row r="1281" spans="1:3" x14ac:dyDescent="0.2">
      <c r="A1281" s="90" t="s">
        <v>513</v>
      </c>
      <c r="B1281" s="74" t="s">
        <v>904</v>
      </c>
      <c r="C1281" s="81">
        <v>152</v>
      </c>
    </row>
    <row r="1282" spans="1:3" x14ac:dyDescent="0.2">
      <c r="A1282" s="90" t="s">
        <v>513</v>
      </c>
      <c r="B1282" s="74" t="s">
        <v>904</v>
      </c>
      <c r="C1282" s="81">
        <v>152</v>
      </c>
    </row>
    <row r="1283" spans="1:3" x14ac:dyDescent="0.2">
      <c r="A1283" s="90" t="s">
        <v>513</v>
      </c>
      <c r="B1283" s="74" t="s">
        <v>905</v>
      </c>
      <c r="C1283" s="81">
        <v>76</v>
      </c>
    </row>
    <row r="1284" spans="1:3" x14ac:dyDescent="0.2">
      <c r="A1284" s="90" t="s">
        <v>513</v>
      </c>
      <c r="B1284" s="74" t="s">
        <v>905</v>
      </c>
      <c r="C1284" s="81">
        <v>76</v>
      </c>
    </row>
    <row r="1285" spans="1:3" x14ac:dyDescent="0.2">
      <c r="A1285" s="90" t="s">
        <v>513</v>
      </c>
      <c r="B1285" s="74" t="s">
        <v>905</v>
      </c>
      <c r="C1285" s="81">
        <v>76</v>
      </c>
    </row>
    <row r="1286" spans="1:3" x14ac:dyDescent="0.2">
      <c r="A1286" s="90" t="s">
        <v>513</v>
      </c>
      <c r="B1286" s="74" t="s">
        <v>905</v>
      </c>
      <c r="C1286" s="81">
        <v>76</v>
      </c>
    </row>
    <row r="1287" spans="1:3" x14ac:dyDescent="0.2">
      <c r="A1287" s="90" t="s">
        <v>513</v>
      </c>
      <c r="B1287" s="74" t="s">
        <v>905</v>
      </c>
      <c r="C1287" s="81">
        <v>76</v>
      </c>
    </row>
    <row r="1288" spans="1:3" x14ac:dyDescent="0.2">
      <c r="A1288" s="90" t="s">
        <v>513</v>
      </c>
      <c r="B1288" s="74" t="s">
        <v>905</v>
      </c>
      <c r="C1288" s="81">
        <v>76</v>
      </c>
    </row>
    <row r="1289" spans="1:3" x14ac:dyDescent="0.2">
      <c r="A1289" s="90" t="s">
        <v>513</v>
      </c>
      <c r="B1289" s="74" t="s">
        <v>906</v>
      </c>
      <c r="C1289" s="81">
        <v>120</v>
      </c>
    </row>
    <row r="1290" spans="1:3" x14ac:dyDescent="0.2">
      <c r="A1290" s="90" t="s">
        <v>513</v>
      </c>
      <c r="B1290" s="74" t="s">
        <v>906</v>
      </c>
      <c r="C1290" s="81">
        <v>120</v>
      </c>
    </row>
    <row r="1291" spans="1:3" x14ac:dyDescent="0.2">
      <c r="A1291" s="90" t="s">
        <v>513</v>
      </c>
      <c r="B1291" s="74" t="s">
        <v>906</v>
      </c>
      <c r="C1291" s="81">
        <v>120</v>
      </c>
    </row>
    <row r="1292" spans="1:3" x14ac:dyDescent="0.2">
      <c r="A1292" s="90" t="s">
        <v>513</v>
      </c>
      <c r="B1292" s="74" t="s">
        <v>906</v>
      </c>
      <c r="C1292" s="81">
        <v>120</v>
      </c>
    </row>
    <row r="1293" spans="1:3" x14ac:dyDescent="0.2">
      <c r="A1293" s="90" t="s">
        <v>513</v>
      </c>
      <c r="B1293" s="74" t="s">
        <v>906</v>
      </c>
      <c r="C1293" s="81">
        <v>120</v>
      </c>
    </row>
    <row r="1294" spans="1:3" x14ac:dyDescent="0.2">
      <c r="A1294" s="90" t="s">
        <v>513</v>
      </c>
      <c r="B1294" s="74" t="s">
        <v>906</v>
      </c>
      <c r="C1294" s="81">
        <v>120</v>
      </c>
    </row>
    <row r="1295" spans="1:3" x14ac:dyDescent="0.2">
      <c r="A1295" s="90" t="s">
        <v>513</v>
      </c>
      <c r="B1295" s="74" t="s">
        <v>907</v>
      </c>
      <c r="C1295" s="81">
        <v>104</v>
      </c>
    </row>
    <row r="1296" spans="1:3" x14ac:dyDescent="0.2">
      <c r="A1296" s="90" t="s">
        <v>513</v>
      </c>
      <c r="B1296" s="74" t="s">
        <v>907</v>
      </c>
      <c r="C1296" s="81">
        <v>104</v>
      </c>
    </row>
    <row r="1297" spans="1:3" x14ac:dyDescent="0.2">
      <c r="A1297" s="90" t="s">
        <v>513</v>
      </c>
      <c r="B1297" s="74" t="s">
        <v>907</v>
      </c>
      <c r="C1297" s="81">
        <v>104</v>
      </c>
    </row>
    <row r="1298" spans="1:3" x14ac:dyDescent="0.2">
      <c r="A1298" s="90" t="s">
        <v>513</v>
      </c>
      <c r="B1298" s="74" t="s">
        <v>907</v>
      </c>
      <c r="C1298" s="81">
        <v>104</v>
      </c>
    </row>
    <row r="1299" spans="1:3" x14ac:dyDescent="0.2">
      <c r="A1299" s="90" t="s">
        <v>513</v>
      </c>
      <c r="B1299" s="74" t="s">
        <v>907</v>
      </c>
      <c r="C1299" s="81">
        <v>104</v>
      </c>
    </row>
    <row r="1300" spans="1:3" x14ac:dyDescent="0.2">
      <c r="A1300" s="90" t="s">
        <v>513</v>
      </c>
      <c r="B1300" s="74" t="s">
        <v>907</v>
      </c>
      <c r="C1300" s="81">
        <v>104</v>
      </c>
    </row>
    <row r="1301" spans="1:3" x14ac:dyDescent="0.2">
      <c r="A1301" s="90" t="s">
        <v>513</v>
      </c>
      <c r="B1301" s="74" t="s">
        <v>908</v>
      </c>
      <c r="C1301" s="81">
        <v>120</v>
      </c>
    </row>
    <row r="1302" spans="1:3" x14ac:dyDescent="0.2">
      <c r="A1302" s="90" t="s">
        <v>513</v>
      </c>
      <c r="B1302" s="74" t="s">
        <v>908</v>
      </c>
      <c r="C1302" s="81">
        <v>120</v>
      </c>
    </row>
    <row r="1303" spans="1:3" x14ac:dyDescent="0.2">
      <c r="A1303" s="90" t="s">
        <v>513</v>
      </c>
      <c r="B1303" s="74" t="s">
        <v>908</v>
      </c>
      <c r="C1303" s="81">
        <v>120</v>
      </c>
    </row>
    <row r="1304" spans="1:3" x14ac:dyDescent="0.2">
      <c r="A1304" s="90" t="s">
        <v>513</v>
      </c>
      <c r="B1304" s="74" t="s">
        <v>908</v>
      </c>
      <c r="C1304" s="81">
        <v>120</v>
      </c>
    </row>
    <row r="1305" spans="1:3" x14ac:dyDescent="0.2">
      <c r="A1305" s="90" t="s">
        <v>513</v>
      </c>
      <c r="B1305" s="74" t="s">
        <v>908</v>
      </c>
      <c r="C1305" s="81">
        <v>120</v>
      </c>
    </row>
    <row r="1306" spans="1:3" x14ac:dyDescent="0.2">
      <c r="A1306" s="90" t="s">
        <v>513</v>
      </c>
      <c r="B1306" s="74" t="s">
        <v>908</v>
      </c>
      <c r="C1306" s="81">
        <v>120</v>
      </c>
    </row>
    <row r="1307" spans="1:3" x14ac:dyDescent="0.2">
      <c r="A1307" s="90" t="s">
        <v>513</v>
      </c>
      <c r="B1307" s="74" t="s">
        <v>909</v>
      </c>
      <c r="C1307" s="81">
        <v>72</v>
      </c>
    </row>
    <row r="1308" spans="1:3" x14ac:dyDescent="0.2">
      <c r="A1308" s="90" t="s">
        <v>513</v>
      </c>
      <c r="B1308" s="74" t="s">
        <v>909</v>
      </c>
      <c r="C1308" s="81">
        <v>72</v>
      </c>
    </row>
    <row r="1309" spans="1:3" x14ac:dyDescent="0.2">
      <c r="A1309" s="90" t="s">
        <v>513</v>
      </c>
      <c r="B1309" s="74" t="s">
        <v>909</v>
      </c>
      <c r="C1309" s="81">
        <v>72</v>
      </c>
    </row>
    <row r="1310" spans="1:3" x14ac:dyDescent="0.2">
      <c r="A1310" s="90" t="s">
        <v>513</v>
      </c>
      <c r="B1310" s="74" t="s">
        <v>909</v>
      </c>
      <c r="C1310" s="81">
        <v>72</v>
      </c>
    </row>
    <row r="1311" spans="1:3" x14ac:dyDescent="0.2">
      <c r="A1311" s="90" t="s">
        <v>513</v>
      </c>
      <c r="B1311" s="74" t="s">
        <v>909</v>
      </c>
      <c r="C1311" s="81">
        <v>72</v>
      </c>
    </row>
    <row r="1312" spans="1:3" x14ac:dyDescent="0.2">
      <c r="A1312" s="90" t="s">
        <v>513</v>
      </c>
      <c r="B1312" s="74" t="s">
        <v>909</v>
      </c>
      <c r="C1312" s="81">
        <v>72</v>
      </c>
    </row>
    <row r="1313" spans="1:3" x14ac:dyDescent="0.2">
      <c r="A1313" s="90" t="s">
        <v>513</v>
      </c>
      <c r="B1313" s="74" t="s">
        <v>910</v>
      </c>
      <c r="C1313" s="81">
        <v>96</v>
      </c>
    </row>
    <row r="1314" spans="1:3" x14ac:dyDescent="0.2">
      <c r="A1314" s="90" t="s">
        <v>513</v>
      </c>
      <c r="B1314" s="74" t="s">
        <v>910</v>
      </c>
      <c r="C1314" s="81">
        <v>96</v>
      </c>
    </row>
    <row r="1315" spans="1:3" x14ac:dyDescent="0.2">
      <c r="A1315" s="90" t="s">
        <v>513</v>
      </c>
      <c r="B1315" s="74" t="s">
        <v>910</v>
      </c>
      <c r="C1315" s="81">
        <v>96</v>
      </c>
    </row>
    <row r="1316" spans="1:3" x14ac:dyDescent="0.2">
      <c r="A1316" s="90" t="s">
        <v>513</v>
      </c>
      <c r="B1316" s="74" t="s">
        <v>910</v>
      </c>
      <c r="C1316" s="81">
        <v>96</v>
      </c>
    </row>
    <row r="1317" spans="1:3" x14ac:dyDescent="0.2">
      <c r="A1317" s="90" t="s">
        <v>513</v>
      </c>
      <c r="B1317" s="74" t="s">
        <v>910</v>
      </c>
      <c r="C1317" s="81">
        <v>96</v>
      </c>
    </row>
    <row r="1318" spans="1:3" x14ac:dyDescent="0.2">
      <c r="A1318" s="90" t="s">
        <v>513</v>
      </c>
      <c r="B1318" s="74" t="s">
        <v>910</v>
      </c>
      <c r="C1318" s="81">
        <v>96</v>
      </c>
    </row>
    <row r="1319" spans="1:3" x14ac:dyDescent="0.2">
      <c r="A1319" s="90" t="s">
        <v>513</v>
      </c>
      <c r="B1319" s="74" t="s">
        <v>911</v>
      </c>
      <c r="C1319" s="81">
        <v>96</v>
      </c>
    </row>
    <row r="1320" spans="1:3" x14ac:dyDescent="0.2">
      <c r="A1320" s="90" t="s">
        <v>513</v>
      </c>
      <c r="B1320" s="74" t="s">
        <v>911</v>
      </c>
      <c r="C1320" s="81">
        <v>96</v>
      </c>
    </row>
    <row r="1321" spans="1:3" x14ac:dyDescent="0.2">
      <c r="A1321" s="90" t="s">
        <v>513</v>
      </c>
      <c r="B1321" s="74" t="s">
        <v>911</v>
      </c>
      <c r="C1321" s="81">
        <v>96</v>
      </c>
    </row>
    <row r="1322" spans="1:3" x14ac:dyDescent="0.2">
      <c r="A1322" s="90" t="s">
        <v>513</v>
      </c>
      <c r="B1322" s="74" t="s">
        <v>911</v>
      </c>
      <c r="C1322" s="81">
        <v>96</v>
      </c>
    </row>
    <row r="1323" spans="1:3" x14ac:dyDescent="0.2">
      <c r="A1323" s="90" t="s">
        <v>513</v>
      </c>
      <c r="B1323" s="74" t="s">
        <v>911</v>
      </c>
      <c r="C1323" s="81">
        <v>96</v>
      </c>
    </row>
    <row r="1324" spans="1:3" x14ac:dyDescent="0.2">
      <c r="A1324" s="90" t="s">
        <v>513</v>
      </c>
      <c r="B1324" s="74" t="s">
        <v>911</v>
      </c>
      <c r="C1324" s="81">
        <v>96</v>
      </c>
    </row>
    <row r="1325" spans="1:3" x14ac:dyDescent="0.2">
      <c r="A1325" s="90" t="s">
        <v>513</v>
      </c>
      <c r="B1325" s="74" t="s">
        <v>912</v>
      </c>
      <c r="C1325" s="81">
        <v>112</v>
      </c>
    </row>
    <row r="1326" spans="1:3" x14ac:dyDescent="0.2">
      <c r="A1326" s="90" t="s">
        <v>513</v>
      </c>
      <c r="B1326" s="74" t="s">
        <v>912</v>
      </c>
      <c r="C1326" s="81">
        <v>112</v>
      </c>
    </row>
    <row r="1327" spans="1:3" x14ac:dyDescent="0.2">
      <c r="A1327" s="90" t="s">
        <v>513</v>
      </c>
      <c r="B1327" s="74" t="s">
        <v>912</v>
      </c>
      <c r="C1327" s="81">
        <v>112</v>
      </c>
    </row>
    <row r="1328" spans="1:3" x14ac:dyDescent="0.2">
      <c r="A1328" s="90" t="s">
        <v>513</v>
      </c>
      <c r="B1328" s="74" t="s">
        <v>912</v>
      </c>
      <c r="C1328" s="81">
        <v>112</v>
      </c>
    </row>
    <row r="1329" spans="1:3" x14ac:dyDescent="0.2">
      <c r="A1329" s="90" t="s">
        <v>513</v>
      </c>
      <c r="B1329" s="74" t="s">
        <v>912</v>
      </c>
      <c r="C1329" s="81">
        <v>112</v>
      </c>
    </row>
    <row r="1330" spans="1:3" x14ac:dyDescent="0.2">
      <c r="A1330" s="90" t="s">
        <v>513</v>
      </c>
      <c r="B1330" s="74" t="s">
        <v>912</v>
      </c>
      <c r="C1330" s="81">
        <v>112</v>
      </c>
    </row>
    <row r="1331" spans="1:3" x14ac:dyDescent="0.2">
      <c r="A1331" s="90" t="s">
        <v>513</v>
      </c>
      <c r="B1331" s="74" t="s">
        <v>913</v>
      </c>
      <c r="C1331" s="81">
        <v>88</v>
      </c>
    </row>
    <row r="1332" spans="1:3" x14ac:dyDescent="0.2">
      <c r="A1332" s="90" t="s">
        <v>513</v>
      </c>
      <c r="B1332" s="74" t="s">
        <v>913</v>
      </c>
      <c r="C1332" s="81">
        <v>88</v>
      </c>
    </row>
    <row r="1333" spans="1:3" x14ac:dyDescent="0.2">
      <c r="A1333" s="90" t="s">
        <v>513</v>
      </c>
      <c r="B1333" s="74" t="s">
        <v>913</v>
      </c>
      <c r="C1333" s="81">
        <v>88</v>
      </c>
    </row>
    <row r="1334" spans="1:3" x14ac:dyDescent="0.2">
      <c r="A1334" s="90" t="s">
        <v>513</v>
      </c>
      <c r="B1334" s="74" t="s">
        <v>913</v>
      </c>
      <c r="C1334" s="81">
        <v>88</v>
      </c>
    </row>
    <row r="1335" spans="1:3" x14ac:dyDescent="0.2">
      <c r="A1335" s="90" t="s">
        <v>513</v>
      </c>
      <c r="B1335" s="74" t="s">
        <v>913</v>
      </c>
      <c r="C1335" s="81">
        <v>88</v>
      </c>
    </row>
    <row r="1336" spans="1:3" x14ac:dyDescent="0.2">
      <c r="A1336" s="90" t="s">
        <v>513</v>
      </c>
      <c r="B1336" s="74" t="s">
        <v>914</v>
      </c>
      <c r="C1336" s="81">
        <v>112</v>
      </c>
    </row>
    <row r="1337" spans="1:3" x14ac:dyDescent="0.2">
      <c r="A1337" s="90" t="s">
        <v>513</v>
      </c>
      <c r="B1337" s="74" t="s">
        <v>914</v>
      </c>
      <c r="C1337" s="81">
        <v>112</v>
      </c>
    </row>
    <row r="1338" spans="1:3" x14ac:dyDescent="0.2">
      <c r="A1338" s="90" t="s">
        <v>513</v>
      </c>
      <c r="B1338" s="74" t="s">
        <v>914</v>
      </c>
      <c r="C1338" s="81">
        <v>112</v>
      </c>
    </row>
    <row r="1339" spans="1:3" x14ac:dyDescent="0.2">
      <c r="A1339" s="90" t="s">
        <v>513</v>
      </c>
      <c r="B1339" s="74" t="s">
        <v>914</v>
      </c>
      <c r="C1339" s="81">
        <v>112</v>
      </c>
    </row>
    <row r="1340" spans="1:3" x14ac:dyDescent="0.2">
      <c r="A1340" s="90" t="s">
        <v>513</v>
      </c>
      <c r="B1340" s="74" t="s">
        <v>914</v>
      </c>
      <c r="C1340" s="81">
        <v>112</v>
      </c>
    </row>
    <row r="1341" spans="1:3" x14ac:dyDescent="0.2">
      <c r="A1341" s="90" t="s">
        <v>513</v>
      </c>
      <c r="B1341" s="74" t="s">
        <v>914</v>
      </c>
      <c r="C1341" s="81">
        <v>112</v>
      </c>
    </row>
    <row r="1342" spans="1:3" x14ac:dyDescent="0.2">
      <c r="A1342" s="90" t="s">
        <v>513</v>
      </c>
      <c r="B1342" s="74" t="s">
        <v>915</v>
      </c>
      <c r="C1342" s="81">
        <v>168</v>
      </c>
    </row>
    <row r="1343" spans="1:3" x14ac:dyDescent="0.2">
      <c r="A1343" s="90" t="s">
        <v>513</v>
      </c>
      <c r="B1343" s="74" t="s">
        <v>915</v>
      </c>
      <c r="C1343" s="81">
        <v>168</v>
      </c>
    </row>
    <row r="1344" spans="1:3" x14ac:dyDescent="0.2">
      <c r="A1344" s="90" t="s">
        <v>513</v>
      </c>
      <c r="B1344" s="74" t="s">
        <v>915</v>
      </c>
      <c r="C1344" s="81">
        <v>168</v>
      </c>
    </row>
    <row r="1345" spans="1:3" x14ac:dyDescent="0.2">
      <c r="A1345" s="90" t="s">
        <v>513</v>
      </c>
      <c r="B1345" s="74" t="s">
        <v>915</v>
      </c>
      <c r="C1345" s="81">
        <v>168</v>
      </c>
    </row>
    <row r="1346" spans="1:3" x14ac:dyDescent="0.2">
      <c r="A1346" s="90" t="s">
        <v>513</v>
      </c>
      <c r="B1346" s="74" t="s">
        <v>915</v>
      </c>
      <c r="C1346" s="81">
        <v>168</v>
      </c>
    </row>
    <row r="1347" spans="1:3" x14ac:dyDescent="0.2">
      <c r="A1347" s="90" t="s">
        <v>513</v>
      </c>
      <c r="B1347" s="74" t="s">
        <v>915</v>
      </c>
      <c r="C1347" s="81">
        <v>168</v>
      </c>
    </row>
    <row r="1348" spans="1:3" x14ac:dyDescent="0.2">
      <c r="A1348" s="90" t="s">
        <v>513</v>
      </c>
      <c r="B1348" s="74" t="s">
        <v>916</v>
      </c>
      <c r="C1348" s="81">
        <v>168</v>
      </c>
    </row>
    <row r="1349" spans="1:3" x14ac:dyDescent="0.2">
      <c r="A1349" s="90" t="s">
        <v>513</v>
      </c>
      <c r="B1349" s="74" t="s">
        <v>916</v>
      </c>
      <c r="C1349" s="81">
        <v>168</v>
      </c>
    </row>
    <row r="1350" spans="1:3" x14ac:dyDescent="0.2">
      <c r="A1350" s="90" t="s">
        <v>513</v>
      </c>
      <c r="B1350" s="74" t="s">
        <v>916</v>
      </c>
      <c r="C1350" s="81">
        <v>168</v>
      </c>
    </row>
    <row r="1351" spans="1:3" x14ac:dyDescent="0.2">
      <c r="A1351" s="90" t="s">
        <v>513</v>
      </c>
      <c r="B1351" s="74" t="s">
        <v>916</v>
      </c>
      <c r="C1351" s="81">
        <v>168</v>
      </c>
    </row>
    <row r="1352" spans="1:3" x14ac:dyDescent="0.2">
      <c r="A1352" s="90" t="s">
        <v>513</v>
      </c>
      <c r="B1352" s="74" t="s">
        <v>916</v>
      </c>
      <c r="C1352" s="81">
        <v>168</v>
      </c>
    </row>
    <row r="1353" spans="1:3" x14ac:dyDescent="0.2">
      <c r="A1353" s="90" t="s">
        <v>513</v>
      </c>
      <c r="B1353" s="74" t="s">
        <v>916</v>
      </c>
      <c r="C1353" s="81">
        <v>168</v>
      </c>
    </row>
    <row r="1354" spans="1:3" x14ac:dyDescent="0.2">
      <c r="A1354" s="90" t="s">
        <v>513</v>
      </c>
      <c r="B1354" s="74" t="s">
        <v>917</v>
      </c>
      <c r="C1354" s="81">
        <v>80</v>
      </c>
    </row>
    <row r="1355" spans="1:3" x14ac:dyDescent="0.2">
      <c r="A1355" s="90" t="s">
        <v>513</v>
      </c>
      <c r="B1355" s="74" t="s">
        <v>917</v>
      </c>
      <c r="C1355" s="81">
        <v>80</v>
      </c>
    </row>
    <row r="1356" spans="1:3" x14ac:dyDescent="0.2">
      <c r="A1356" s="90" t="s">
        <v>513</v>
      </c>
      <c r="B1356" s="74" t="s">
        <v>917</v>
      </c>
      <c r="C1356" s="81">
        <v>80</v>
      </c>
    </row>
    <row r="1357" spans="1:3" x14ac:dyDescent="0.2">
      <c r="A1357" s="90" t="s">
        <v>513</v>
      </c>
      <c r="B1357" s="74" t="s">
        <v>917</v>
      </c>
      <c r="C1357" s="81">
        <v>80</v>
      </c>
    </row>
    <row r="1358" spans="1:3" x14ac:dyDescent="0.2">
      <c r="A1358" s="90" t="s">
        <v>513</v>
      </c>
      <c r="B1358" s="74" t="s">
        <v>917</v>
      </c>
      <c r="C1358" s="81">
        <v>80</v>
      </c>
    </row>
    <row r="1359" spans="1:3" x14ac:dyDescent="0.2">
      <c r="A1359" s="90" t="s">
        <v>513</v>
      </c>
      <c r="B1359" s="74" t="s">
        <v>917</v>
      </c>
      <c r="C1359" s="81">
        <v>80</v>
      </c>
    </row>
    <row r="1360" spans="1:3" x14ac:dyDescent="0.2">
      <c r="A1360" s="90" t="s">
        <v>513</v>
      </c>
      <c r="B1360" s="74" t="s">
        <v>918</v>
      </c>
      <c r="C1360" s="81">
        <v>80</v>
      </c>
    </row>
    <row r="1361" spans="1:3" x14ac:dyDescent="0.2">
      <c r="A1361" s="90" t="s">
        <v>513</v>
      </c>
      <c r="B1361" s="74" t="s">
        <v>918</v>
      </c>
      <c r="C1361" s="81">
        <v>80</v>
      </c>
    </row>
    <row r="1362" spans="1:3" x14ac:dyDescent="0.2">
      <c r="A1362" s="90" t="s">
        <v>513</v>
      </c>
      <c r="B1362" s="74" t="s">
        <v>918</v>
      </c>
      <c r="C1362" s="81">
        <v>80</v>
      </c>
    </row>
    <row r="1363" spans="1:3" x14ac:dyDescent="0.2">
      <c r="A1363" s="90" t="s">
        <v>513</v>
      </c>
      <c r="B1363" s="74" t="s">
        <v>918</v>
      </c>
      <c r="C1363" s="81">
        <v>80</v>
      </c>
    </row>
    <row r="1364" spans="1:3" x14ac:dyDescent="0.2">
      <c r="A1364" s="90" t="s">
        <v>513</v>
      </c>
      <c r="B1364" s="74" t="s">
        <v>918</v>
      </c>
      <c r="C1364" s="81">
        <v>80</v>
      </c>
    </row>
    <row r="1365" spans="1:3" x14ac:dyDescent="0.2">
      <c r="A1365" s="90" t="s">
        <v>513</v>
      </c>
      <c r="B1365" s="74" t="s">
        <v>918</v>
      </c>
      <c r="C1365" s="81">
        <v>80</v>
      </c>
    </row>
    <row r="1366" spans="1:3" x14ac:dyDescent="0.2">
      <c r="A1366" s="90" t="s">
        <v>513</v>
      </c>
      <c r="B1366" s="74" t="s">
        <v>919</v>
      </c>
      <c r="C1366" s="81">
        <v>168</v>
      </c>
    </row>
    <row r="1367" spans="1:3" x14ac:dyDescent="0.2">
      <c r="A1367" s="90" t="s">
        <v>513</v>
      </c>
      <c r="B1367" s="74" t="s">
        <v>919</v>
      </c>
      <c r="C1367" s="81">
        <v>168</v>
      </c>
    </row>
    <row r="1368" spans="1:3" x14ac:dyDescent="0.2">
      <c r="A1368" s="90" t="s">
        <v>513</v>
      </c>
      <c r="B1368" s="74" t="s">
        <v>919</v>
      </c>
      <c r="C1368" s="81">
        <v>168</v>
      </c>
    </row>
    <row r="1369" spans="1:3" x14ac:dyDescent="0.2">
      <c r="A1369" s="90" t="s">
        <v>513</v>
      </c>
      <c r="B1369" s="74" t="s">
        <v>919</v>
      </c>
      <c r="C1369" s="81">
        <v>168</v>
      </c>
    </row>
    <row r="1370" spans="1:3" x14ac:dyDescent="0.2">
      <c r="A1370" s="90" t="s">
        <v>513</v>
      </c>
      <c r="B1370" s="74" t="s">
        <v>919</v>
      </c>
      <c r="C1370" s="81">
        <v>168</v>
      </c>
    </row>
    <row r="1371" spans="1:3" x14ac:dyDescent="0.2">
      <c r="A1371" s="90" t="s">
        <v>513</v>
      </c>
      <c r="B1371" s="74" t="s">
        <v>919</v>
      </c>
      <c r="C1371" s="81">
        <v>168</v>
      </c>
    </row>
    <row r="1372" spans="1:3" x14ac:dyDescent="0.2">
      <c r="A1372" s="90" t="s">
        <v>513</v>
      </c>
      <c r="B1372" s="74" t="s">
        <v>920</v>
      </c>
      <c r="C1372" s="81">
        <v>136</v>
      </c>
    </row>
    <row r="1373" spans="1:3" x14ac:dyDescent="0.2">
      <c r="A1373" s="90" t="s">
        <v>513</v>
      </c>
      <c r="B1373" s="74" t="s">
        <v>920</v>
      </c>
      <c r="C1373" s="81">
        <v>136</v>
      </c>
    </row>
    <row r="1374" spans="1:3" x14ac:dyDescent="0.2">
      <c r="A1374" s="90" t="s">
        <v>513</v>
      </c>
      <c r="B1374" s="74" t="s">
        <v>920</v>
      </c>
      <c r="C1374" s="81">
        <v>136</v>
      </c>
    </row>
    <row r="1375" spans="1:3" x14ac:dyDescent="0.2">
      <c r="A1375" s="90" t="s">
        <v>513</v>
      </c>
      <c r="B1375" s="74" t="s">
        <v>920</v>
      </c>
      <c r="C1375" s="81">
        <v>136</v>
      </c>
    </row>
    <row r="1376" spans="1:3" x14ac:dyDescent="0.2">
      <c r="A1376" s="90" t="s">
        <v>513</v>
      </c>
      <c r="B1376" s="74" t="s">
        <v>920</v>
      </c>
      <c r="C1376" s="81">
        <v>136</v>
      </c>
    </row>
    <row r="1377" spans="1:3" x14ac:dyDescent="0.2">
      <c r="A1377" s="90" t="s">
        <v>513</v>
      </c>
      <c r="B1377" s="74" t="s">
        <v>920</v>
      </c>
      <c r="C1377" s="81">
        <v>136</v>
      </c>
    </row>
    <row r="1378" spans="1:3" x14ac:dyDescent="0.2">
      <c r="A1378" s="90" t="s">
        <v>513</v>
      </c>
      <c r="B1378" s="74" t="s">
        <v>921</v>
      </c>
      <c r="C1378" s="81">
        <v>104</v>
      </c>
    </row>
    <row r="1379" spans="1:3" x14ac:dyDescent="0.2">
      <c r="A1379" s="90" t="s">
        <v>513</v>
      </c>
      <c r="B1379" s="74" t="s">
        <v>921</v>
      </c>
      <c r="C1379" s="81">
        <v>104</v>
      </c>
    </row>
    <row r="1380" spans="1:3" x14ac:dyDescent="0.2">
      <c r="A1380" s="90" t="s">
        <v>513</v>
      </c>
      <c r="B1380" s="74" t="s">
        <v>921</v>
      </c>
      <c r="C1380" s="81">
        <v>104</v>
      </c>
    </row>
    <row r="1381" spans="1:3" x14ac:dyDescent="0.2">
      <c r="A1381" s="90" t="s">
        <v>513</v>
      </c>
      <c r="B1381" s="74" t="s">
        <v>921</v>
      </c>
      <c r="C1381" s="81">
        <v>104</v>
      </c>
    </row>
    <row r="1382" spans="1:3" x14ac:dyDescent="0.2">
      <c r="A1382" s="90" t="s">
        <v>513</v>
      </c>
      <c r="B1382" s="74" t="s">
        <v>921</v>
      </c>
      <c r="C1382" s="81">
        <v>104</v>
      </c>
    </row>
    <row r="1383" spans="1:3" x14ac:dyDescent="0.2">
      <c r="A1383" s="90" t="s">
        <v>513</v>
      </c>
      <c r="B1383" s="74" t="s">
        <v>921</v>
      </c>
      <c r="C1383" s="81">
        <v>104</v>
      </c>
    </row>
    <row r="1384" spans="1:3" x14ac:dyDescent="0.2">
      <c r="A1384" s="90" t="s">
        <v>513</v>
      </c>
      <c r="B1384" s="74" t="s">
        <v>922</v>
      </c>
      <c r="C1384" s="81">
        <v>116</v>
      </c>
    </row>
    <row r="1385" spans="1:3" x14ac:dyDescent="0.2">
      <c r="A1385" s="90" t="s">
        <v>513</v>
      </c>
      <c r="B1385" s="74" t="s">
        <v>922</v>
      </c>
      <c r="C1385" s="81">
        <v>116</v>
      </c>
    </row>
    <row r="1386" spans="1:3" x14ac:dyDescent="0.2">
      <c r="A1386" s="90" t="s">
        <v>513</v>
      </c>
      <c r="B1386" s="74" t="s">
        <v>922</v>
      </c>
      <c r="C1386" s="81">
        <v>116</v>
      </c>
    </row>
    <row r="1387" spans="1:3" x14ac:dyDescent="0.2">
      <c r="A1387" s="90" t="s">
        <v>513</v>
      </c>
      <c r="B1387" s="74" t="s">
        <v>922</v>
      </c>
      <c r="C1387" s="81">
        <v>116</v>
      </c>
    </row>
    <row r="1388" spans="1:3" x14ac:dyDescent="0.2">
      <c r="A1388" s="90" t="s">
        <v>513</v>
      </c>
      <c r="B1388" s="74" t="s">
        <v>922</v>
      </c>
      <c r="C1388" s="81">
        <v>116</v>
      </c>
    </row>
    <row r="1389" spans="1:3" x14ac:dyDescent="0.2">
      <c r="A1389" s="90" t="s">
        <v>513</v>
      </c>
      <c r="B1389" s="74" t="s">
        <v>922</v>
      </c>
      <c r="C1389" s="81">
        <v>116</v>
      </c>
    </row>
    <row r="1390" spans="1:3" x14ac:dyDescent="0.2">
      <c r="A1390" s="90" t="s">
        <v>513</v>
      </c>
      <c r="B1390" s="74" t="s">
        <v>923</v>
      </c>
      <c r="C1390" s="81">
        <v>120</v>
      </c>
    </row>
    <row r="1391" spans="1:3" x14ac:dyDescent="0.2">
      <c r="A1391" s="90" t="s">
        <v>513</v>
      </c>
      <c r="B1391" s="74" t="s">
        <v>923</v>
      </c>
      <c r="C1391" s="81">
        <v>120</v>
      </c>
    </row>
    <row r="1392" spans="1:3" x14ac:dyDescent="0.2">
      <c r="A1392" s="90" t="s">
        <v>513</v>
      </c>
      <c r="B1392" s="74" t="s">
        <v>923</v>
      </c>
      <c r="C1392" s="81">
        <v>120</v>
      </c>
    </row>
    <row r="1393" spans="1:3" x14ac:dyDescent="0.2">
      <c r="A1393" s="90" t="s">
        <v>513</v>
      </c>
      <c r="B1393" s="74" t="s">
        <v>923</v>
      </c>
      <c r="C1393" s="81">
        <v>120</v>
      </c>
    </row>
    <row r="1394" spans="1:3" x14ac:dyDescent="0.2">
      <c r="A1394" s="90" t="s">
        <v>513</v>
      </c>
      <c r="B1394" s="74" t="s">
        <v>923</v>
      </c>
      <c r="C1394" s="81">
        <v>120</v>
      </c>
    </row>
    <row r="1395" spans="1:3" x14ac:dyDescent="0.2">
      <c r="A1395" s="90" t="s">
        <v>513</v>
      </c>
      <c r="B1395" s="74" t="s">
        <v>923</v>
      </c>
      <c r="C1395" s="81">
        <v>120</v>
      </c>
    </row>
    <row r="1396" spans="1:3" x14ac:dyDescent="0.2">
      <c r="A1396" s="90" t="s">
        <v>513</v>
      </c>
      <c r="B1396" s="74" t="s">
        <v>924</v>
      </c>
      <c r="C1396" s="81">
        <v>200</v>
      </c>
    </row>
    <row r="1397" spans="1:3" x14ac:dyDescent="0.2">
      <c r="A1397" s="90" t="s">
        <v>513</v>
      </c>
      <c r="B1397" s="74" t="s">
        <v>924</v>
      </c>
      <c r="C1397" s="81">
        <v>200</v>
      </c>
    </row>
    <row r="1398" spans="1:3" x14ac:dyDescent="0.2">
      <c r="A1398" s="90" t="s">
        <v>513</v>
      </c>
      <c r="B1398" s="74" t="s">
        <v>924</v>
      </c>
      <c r="C1398" s="81">
        <v>200</v>
      </c>
    </row>
    <row r="1399" spans="1:3" x14ac:dyDescent="0.2">
      <c r="A1399" s="90" t="s">
        <v>513</v>
      </c>
      <c r="B1399" s="74" t="s">
        <v>924</v>
      </c>
      <c r="C1399" s="81">
        <v>200</v>
      </c>
    </row>
    <row r="1400" spans="1:3" x14ac:dyDescent="0.2">
      <c r="A1400" s="90" t="s">
        <v>513</v>
      </c>
      <c r="B1400" s="74" t="s">
        <v>924</v>
      </c>
      <c r="C1400" s="81">
        <v>200</v>
      </c>
    </row>
    <row r="1401" spans="1:3" x14ac:dyDescent="0.2">
      <c r="A1401" s="90" t="s">
        <v>513</v>
      </c>
      <c r="B1401" s="74" t="s">
        <v>924</v>
      </c>
      <c r="C1401" s="81">
        <v>200</v>
      </c>
    </row>
    <row r="1402" spans="1:3" x14ac:dyDescent="0.2">
      <c r="A1402" s="90" t="s">
        <v>513</v>
      </c>
      <c r="B1402" s="74" t="s">
        <v>925</v>
      </c>
      <c r="C1402" s="81">
        <v>152</v>
      </c>
    </row>
    <row r="1403" spans="1:3" x14ac:dyDescent="0.2">
      <c r="A1403" s="90" t="s">
        <v>513</v>
      </c>
      <c r="B1403" s="74" t="s">
        <v>925</v>
      </c>
      <c r="C1403" s="81">
        <v>152</v>
      </c>
    </row>
    <row r="1404" spans="1:3" x14ac:dyDescent="0.2">
      <c r="A1404" s="90" t="s">
        <v>513</v>
      </c>
      <c r="B1404" s="74" t="s">
        <v>925</v>
      </c>
      <c r="C1404" s="81">
        <v>152</v>
      </c>
    </row>
    <row r="1405" spans="1:3" x14ac:dyDescent="0.2">
      <c r="A1405" s="90" t="s">
        <v>513</v>
      </c>
      <c r="B1405" s="74" t="s">
        <v>925</v>
      </c>
      <c r="C1405" s="81">
        <v>152</v>
      </c>
    </row>
    <row r="1406" spans="1:3" x14ac:dyDescent="0.2">
      <c r="A1406" s="90" t="s">
        <v>513</v>
      </c>
      <c r="B1406" s="74" t="s">
        <v>925</v>
      </c>
      <c r="C1406" s="81">
        <v>152</v>
      </c>
    </row>
    <row r="1407" spans="1:3" x14ac:dyDescent="0.2">
      <c r="A1407" s="90" t="s">
        <v>513</v>
      </c>
      <c r="B1407" s="74" t="s">
        <v>925</v>
      </c>
      <c r="C1407" s="81">
        <v>152</v>
      </c>
    </row>
    <row r="1408" spans="1:3" x14ac:dyDescent="0.2">
      <c r="A1408" s="90" t="s">
        <v>513</v>
      </c>
      <c r="B1408" s="74" t="s">
        <v>926</v>
      </c>
      <c r="C1408" s="81">
        <v>420</v>
      </c>
    </row>
    <row r="1409" spans="1:3" x14ac:dyDescent="0.2">
      <c r="A1409" s="90" t="s">
        <v>513</v>
      </c>
      <c r="B1409" s="74" t="s">
        <v>926</v>
      </c>
      <c r="C1409" s="81">
        <v>420</v>
      </c>
    </row>
    <row r="1410" spans="1:3" x14ac:dyDescent="0.2">
      <c r="A1410" s="90" t="s">
        <v>513</v>
      </c>
      <c r="B1410" s="74" t="s">
        <v>926</v>
      </c>
      <c r="C1410" s="81">
        <v>420</v>
      </c>
    </row>
    <row r="1411" spans="1:3" x14ac:dyDescent="0.2">
      <c r="A1411" s="90" t="s">
        <v>513</v>
      </c>
      <c r="B1411" s="74" t="s">
        <v>926</v>
      </c>
      <c r="C1411" s="81">
        <v>420</v>
      </c>
    </row>
    <row r="1412" spans="1:3" x14ac:dyDescent="0.2">
      <c r="A1412" s="90" t="s">
        <v>513</v>
      </c>
      <c r="B1412" s="74" t="s">
        <v>926</v>
      </c>
      <c r="C1412" s="81">
        <v>420</v>
      </c>
    </row>
    <row r="1413" spans="1:3" x14ac:dyDescent="0.2">
      <c r="A1413" s="90" t="s">
        <v>513</v>
      </c>
      <c r="B1413" s="74" t="s">
        <v>926</v>
      </c>
      <c r="C1413" s="81">
        <v>420</v>
      </c>
    </row>
    <row r="1414" spans="1:3" x14ac:dyDescent="0.2">
      <c r="A1414" s="90" t="s">
        <v>513</v>
      </c>
      <c r="B1414" s="74" t="s">
        <v>927</v>
      </c>
      <c r="C1414" s="81">
        <v>76</v>
      </c>
    </row>
    <row r="1415" spans="1:3" x14ac:dyDescent="0.2">
      <c r="A1415" s="90" t="s">
        <v>513</v>
      </c>
      <c r="B1415" s="74" t="s">
        <v>927</v>
      </c>
      <c r="C1415" s="81">
        <v>76</v>
      </c>
    </row>
    <row r="1416" spans="1:3" x14ac:dyDescent="0.2">
      <c r="A1416" s="90" t="s">
        <v>513</v>
      </c>
      <c r="B1416" s="74" t="s">
        <v>927</v>
      </c>
      <c r="C1416" s="81">
        <v>76</v>
      </c>
    </row>
    <row r="1417" spans="1:3" x14ac:dyDescent="0.2">
      <c r="A1417" s="90" t="s">
        <v>513</v>
      </c>
      <c r="B1417" s="74" t="s">
        <v>927</v>
      </c>
      <c r="C1417" s="81">
        <v>76</v>
      </c>
    </row>
    <row r="1418" spans="1:3" x14ac:dyDescent="0.2">
      <c r="A1418" s="90" t="s">
        <v>513</v>
      </c>
      <c r="B1418" s="74" t="s">
        <v>927</v>
      </c>
      <c r="C1418" s="81">
        <v>76</v>
      </c>
    </row>
    <row r="1419" spans="1:3" x14ac:dyDescent="0.2">
      <c r="A1419" s="90" t="s">
        <v>513</v>
      </c>
      <c r="B1419" s="74" t="s">
        <v>927</v>
      </c>
      <c r="C1419" s="81">
        <v>76</v>
      </c>
    </row>
    <row r="1420" spans="1:3" x14ac:dyDescent="0.2">
      <c r="A1420" s="90" t="s">
        <v>513</v>
      </c>
      <c r="B1420" s="74" t="s">
        <v>928</v>
      </c>
      <c r="C1420" s="81">
        <v>156</v>
      </c>
    </row>
    <row r="1421" spans="1:3" x14ac:dyDescent="0.2">
      <c r="A1421" s="90" t="s">
        <v>513</v>
      </c>
      <c r="B1421" s="74" t="s">
        <v>928</v>
      </c>
      <c r="C1421" s="81">
        <v>156</v>
      </c>
    </row>
    <row r="1422" spans="1:3" x14ac:dyDescent="0.2">
      <c r="A1422" s="90" t="s">
        <v>513</v>
      </c>
      <c r="B1422" s="74" t="s">
        <v>928</v>
      </c>
      <c r="C1422" s="81">
        <v>156</v>
      </c>
    </row>
    <row r="1423" spans="1:3" x14ac:dyDescent="0.2">
      <c r="A1423" s="90" t="s">
        <v>513</v>
      </c>
      <c r="B1423" s="74" t="s">
        <v>928</v>
      </c>
      <c r="C1423" s="81">
        <v>156</v>
      </c>
    </row>
    <row r="1424" spans="1:3" x14ac:dyDescent="0.2">
      <c r="A1424" s="90" t="s">
        <v>513</v>
      </c>
      <c r="B1424" s="74" t="s">
        <v>928</v>
      </c>
      <c r="C1424" s="81">
        <v>156</v>
      </c>
    </row>
    <row r="1425" spans="1:3" x14ac:dyDescent="0.2">
      <c r="A1425" s="90" t="s">
        <v>513</v>
      </c>
      <c r="B1425" s="74" t="s">
        <v>928</v>
      </c>
      <c r="C1425" s="81">
        <v>156</v>
      </c>
    </row>
    <row r="1426" spans="1:3" x14ac:dyDescent="0.2">
      <c r="A1426" s="90" t="s">
        <v>513</v>
      </c>
      <c r="B1426" s="74" t="s">
        <v>929</v>
      </c>
      <c r="C1426" s="81">
        <v>120</v>
      </c>
    </row>
    <row r="1427" spans="1:3" x14ac:dyDescent="0.2">
      <c r="A1427" s="90" t="s">
        <v>513</v>
      </c>
      <c r="B1427" s="74" t="s">
        <v>929</v>
      </c>
      <c r="C1427" s="81">
        <v>120</v>
      </c>
    </row>
    <row r="1428" spans="1:3" x14ac:dyDescent="0.2">
      <c r="A1428" s="90" t="s">
        <v>513</v>
      </c>
      <c r="B1428" s="74" t="s">
        <v>929</v>
      </c>
      <c r="C1428" s="81">
        <v>120</v>
      </c>
    </row>
    <row r="1429" spans="1:3" x14ac:dyDescent="0.2">
      <c r="A1429" s="90" t="s">
        <v>513</v>
      </c>
      <c r="B1429" s="74" t="s">
        <v>929</v>
      </c>
      <c r="C1429" s="81">
        <v>120</v>
      </c>
    </row>
    <row r="1430" spans="1:3" x14ac:dyDescent="0.2">
      <c r="A1430" s="90" t="s">
        <v>513</v>
      </c>
      <c r="B1430" s="74" t="s">
        <v>929</v>
      </c>
      <c r="C1430" s="81">
        <v>120</v>
      </c>
    </row>
    <row r="1431" spans="1:3" x14ac:dyDescent="0.2">
      <c r="A1431" s="90" t="s">
        <v>513</v>
      </c>
      <c r="B1431" s="74" t="s">
        <v>929</v>
      </c>
      <c r="C1431" s="81">
        <v>120</v>
      </c>
    </row>
    <row r="1432" spans="1:3" x14ac:dyDescent="0.2">
      <c r="A1432" s="90" t="s">
        <v>513</v>
      </c>
      <c r="B1432" s="74" t="s">
        <v>930</v>
      </c>
      <c r="C1432" s="81">
        <v>120</v>
      </c>
    </row>
    <row r="1433" spans="1:3" x14ac:dyDescent="0.2">
      <c r="A1433" s="90" t="s">
        <v>513</v>
      </c>
      <c r="B1433" s="74" t="s">
        <v>930</v>
      </c>
      <c r="C1433" s="81">
        <v>120</v>
      </c>
    </row>
    <row r="1434" spans="1:3" x14ac:dyDescent="0.2">
      <c r="A1434" s="90" t="s">
        <v>513</v>
      </c>
      <c r="B1434" s="74" t="s">
        <v>930</v>
      </c>
      <c r="C1434" s="81">
        <v>120</v>
      </c>
    </row>
    <row r="1435" spans="1:3" x14ac:dyDescent="0.2">
      <c r="A1435" s="90" t="s">
        <v>513</v>
      </c>
      <c r="B1435" s="74" t="s">
        <v>930</v>
      </c>
      <c r="C1435" s="81">
        <v>120</v>
      </c>
    </row>
    <row r="1436" spans="1:3" x14ac:dyDescent="0.2">
      <c r="A1436" s="90" t="s">
        <v>513</v>
      </c>
      <c r="B1436" s="74" t="s">
        <v>930</v>
      </c>
      <c r="C1436" s="81">
        <v>120</v>
      </c>
    </row>
    <row r="1437" spans="1:3" x14ac:dyDescent="0.2">
      <c r="A1437" s="90" t="s">
        <v>513</v>
      </c>
      <c r="B1437" s="74" t="s">
        <v>930</v>
      </c>
      <c r="C1437" s="81">
        <v>120</v>
      </c>
    </row>
    <row r="1438" spans="1:3" x14ac:dyDescent="0.2">
      <c r="A1438" s="90" t="s">
        <v>513</v>
      </c>
      <c r="B1438" s="74" t="s">
        <v>931</v>
      </c>
      <c r="C1438" s="81">
        <v>96</v>
      </c>
    </row>
    <row r="1439" spans="1:3" x14ac:dyDescent="0.2">
      <c r="A1439" s="90" t="s">
        <v>513</v>
      </c>
      <c r="B1439" s="74" t="s">
        <v>931</v>
      </c>
      <c r="C1439" s="81">
        <v>96</v>
      </c>
    </row>
    <row r="1440" spans="1:3" x14ac:dyDescent="0.2">
      <c r="A1440" s="90" t="s">
        <v>513</v>
      </c>
      <c r="B1440" s="74" t="s">
        <v>931</v>
      </c>
      <c r="C1440" s="81">
        <v>96</v>
      </c>
    </row>
    <row r="1441" spans="1:3" x14ac:dyDescent="0.2">
      <c r="A1441" s="90" t="s">
        <v>513</v>
      </c>
      <c r="B1441" s="74" t="s">
        <v>931</v>
      </c>
      <c r="C1441" s="81">
        <v>96</v>
      </c>
    </row>
    <row r="1442" spans="1:3" x14ac:dyDescent="0.2">
      <c r="A1442" s="90" t="s">
        <v>513</v>
      </c>
      <c r="B1442" s="74" t="s">
        <v>931</v>
      </c>
      <c r="C1442" s="81">
        <v>96</v>
      </c>
    </row>
    <row r="1443" spans="1:3" x14ac:dyDescent="0.2">
      <c r="A1443" s="90" t="s">
        <v>513</v>
      </c>
      <c r="B1443" s="74" t="s">
        <v>931</v>
      </c>
      <c r="C1443" s="81">
        <v>96</v>
      </c>
    </row>
    <row r="1444" spans="1:3" x14ac:dyDescent="0.2">
      <c r="A1444" s="90" t="s">
        <v>513</v>
      </c>
      <c r="B1444" s="74" t="s">
        <v>932</v>
      </c>
      <c r="C1444" s="81">
        <v>144</v>
      </c>
    </row>
    <row r="1445" spans="1:3" x14ac:dyDescent="0.2">
      <c r="A1445" s="90" t="s">
        <v>513</v>
      </c>
      <c r="B1445" s="74" t="s">
        <v>932</v>
      </c>
      <c r="C1445" s="81">
        <v>144</v>
      </c>
    </row>
    <row r="1446" spans="1:3" x14ac:dyDescent="0.2">
      <c r="A1446" s="90" t="s">
        <v>513</v>
      </c>
      <c r="B1446" s="74" t="s">
        <v>932</v>
      </c>
      <c r="C1446" s="81">
        <v>144</v>
      </c>
    </row>
    <row r="1447" spans="1:3" x14ac:dyDescent="0.2">
      <c r="A1447" s="90" t="s">
        <v>513</v>
      </c>
      <c r="B1447" s="74" t="s">
        <v>932</v>
      </c>
      <c r="C1447" s="81">
        <v>144</v>
      </c>
    </row>
    <row r="1448" spans="1:3" x14ac:dyDescent="0.2">
      <c r="A1448" s="90" t="s">
        <v>513</v>
      </c>
      <c r="B1448" s="74" t="s">
        <v>932</v>
      </c>
      <c r="C1448" s="81">
        <v>144</v>
      </c>
    </row>
    <row r="1449" spans="1:3" x14ac:dyDescent="0.2">
      <c r="A1449" s="90" t="s">
        <v>513</v>
      </c>
      <c r="B1449" s="74" t="s">
        <v>932</v>
      </c>
      <c r="C1449" s="81">
        <v>144</v>
      </c>
    </row>
    <row r="1450" spans="1:3" x14ac:dyDescent="0.2">
      <c r="A1450" s="90" t="s">
        <v>513</v>
      </c>
      <c r="B1450" s="74" t="s">
        <v>933</v>
      </c>
      <c r="C1450" s="81">
        <v>120</v>
      </c>
    </row>
    <row r="1451" spans="1:3" x14ac:dyDescent="0.2">
      <c r="A1451" s="90" t="s">
        <v>513</v>
      </c>
      <c r="B1451" s="74" t="s">
        <v>933</v>
      </c>
      <c r="C1451" s="81">
        <v>120</v>
      </c>
    </row>
    <row r="1452" spans="1:3" x14ac:dyDescent="0.2">
      <c r="A1452" s="90" t="s">
        <v>513</v>
      </c>
      <c r="B1452" s="74" t="s">
        <v>933</v>
      </c>
      <c r="C1452" s="81">
        <v>120</v>
      </c>
    </row>
    <row r="1453" spans="1:3" x14ac:dyDescent="0.2">
      <c r="A1453" s="90" t="s">
        <v>513</v>
      </c>
      <c r="B1453" s="74" t="s">
        <v>933</v>
      </c>
      <c r="C1453" s="81">
        <v>120</v>
      </c>
    </row>
    <row r="1454" spans="1:3" x14ac:dyDescent="0.2">
      <c r="A1454" s="90" t="s">
        <v>513</v>
      </c>
      <c r="B1454" s="74" t="s">
        <v>933</v>
      </c>
      <c r="C1454" s="81">
        <v>120</v>
      </c>
    </row>
    <row r="1455" spans="1:3" x14ac:dyDescent="0.2">
      <c r="A1455" s="90" t="s">
        <v>513</v>
      </c>
      <c r="B1455" s="74" t="s">
        <v>933</v>
      </c>
      <c r="C1455" s="81">
        <v>120</v>
      </c>
    </row>
    <row r="1456" spans="1:3" x14ac:dyDescent="0.2">
      <c r="A1456" s="90" t="s">
        <v>513</v>
      </c>
      <c r="B1456" s="74" t="s">
        <v>934</v>
      </c>
      <c r="C1456" s="81">
        <v>120</v>
      </c>
    </row>
    <row r="1457" spans="1:3" x14ac:dyDescent="0.2">
      <c r="A1457" s="90" t="s">
        <v>513</v>
      </c>
      <c r="B1457" s="74" t="s">
        <v>934</v>
      </c>
      <c r="C1457" s="81">
        <v>120</v>
      </c>
    </row>
    <row r="1458" spans="1:3" x14ac:dyDescent="0.2">
      <c r="A1458" s="90" t="s">
        <v>513</v>
      </c>
      <c r="B1458" s="74" t="s">
        <v>934</v>
      </c>
      <c r="C1458" s="81">
        <v>120</v>
      </c>
    </row>
    <row r="1459" spans="1:3" x14ac:dyDescent="0.2">
      <c r="A1459" s="90" t="s">
        <v>513</v>
      </c>
      <c r="B1459" s="74" t="s">
        <v>934</v>
      </c>
      <c r="C1459" s="81">
        <v>120</v>
      </c>
    </row>
    <row r="1460" spans="1:3" x14ac:dyDescent="0.2">
      <c r="A1460" s="90" t="s">
        <v>513</v>
      </c>
      <c r="B1460" s="74" t="s">
        <v>934</v>
      </c>
      <c r="C1460" s="81">
        <v>120</v>
      </c>
    </row>
    <row r="1461" spans="1:3" x14ac:dyDescent="0.2">
      <c r="A1461" s="90" t="s">
        <v>513</v>
      </c>
      <c r="B1461" s="74" t="s">
        <v>934</v>
      </c>
      <c r="C1461" s="81">
        <v>120</v>
      </c>
    </row>
    <row r="1462" spans="1:3" x14ac:dyDescent="0.2">
      <c r="A1462" s="90" t="s">
        <v>513</v>
      </c>
      <c r="B1462" s="74" t="s">
        <v>935</v>
      </c>
      <c r="C1462" s="81">
        <v>128</v>
      </c>
    </row>
    <row r="1463" spans="1:3" x14ac:dyDescent="0.2">
      <c r="A1463" s="90" t="s">
        <v>513</v>
      </c>
      <c r="B1463" s="74" t="s">
        <v>935</v>
      </c>
      <c r="C1463" s="81">
        <v>128</v>
      </c>
    </row>
    <row r="1464" spans="1:3" x14ac:dyDescent="0.2">
      <c r="A1464" s="90" t="s">
        <v>513</v>
      </c>
      <c r="B1464" s="74" t="s">
        <v>935</v>
      </c>
      <c r="C1464" s="81">
        <v>128</v>
      </c>
    </row>
    <row r="1465" spans="1:3" x14ac:dyDescent="0.2">
      <c r="A1465" s="90" t="s">
        <v>513</v>
      </c>
      <c r="B1465" s="74" t="s">
        <v>935</v>
      </c>
      <c r="C1465" s="81">
        <v>128</v>
      </c>
    </row>
    <row r="1466" spans="1:3" x14ac:dyDescent="0.2">
      <c r="A1466" s="90" t="s">
        <v>513</v>
      </c>
      <c r="B1466" s="74" t="s">
        <v>935</v>
      </c>
      <c r="C1466" s="81">
        <v>128</v>
      </c>
    </row>
    <row r="1467" spans="1:3" x14ac:dyDescent="0.2">
      <c r="A1467" s="90" t="s">
        <v>513</v>
      </c>
      <c r="B1467" s="74" t="s">
        <v>935</v>
      </c>
      <c r="C1467" s="81">
        <v>128</v>
      </c>
    </row>
    <row r="1468" spans="1:3" x14ac:dyDescent="0.2">
      <c r="A1468" s="90" t="s">
        <v>513</v>
      </c>
      <c r="B1468" s="74" t="s">
        <v>935</v>
      </c>
      <c r="C1468" s="81">
        <v>128</v>
      </c>
    </row>
    <row r="1469" spans="1:3" x14ac:dyDescent="0.2">
      <c r="A1469" s="90" t="s">
        <v>513</v>
      </c>
      <c r="B1469" s="74" t="s">
        <v>935</v>
      </c>
      <c r="C1469" s="81">
        <v>128</v>
      </c>
    </row>
    <row r="1470" spans="1:3" x14ac:dyDescent="0.2">
      <c r="A1470" s="90" t="s">
        <v>513</v>
      </c>
      <c r="B1470" s="74" t="s">
        <v>935</v>
      </c>
      <c r="C1470" s="81">
        <v>128</v>
      </c>
    </row>
    <row r="1471" spans="1:3" x14ac:dyDescent="0.2">
      <c r="A1471" s="90" t="s">
        <v>513</v>
      </c>
      <c r="B1471" s="74" t="s">
        <v>935</v>
      </c>
      <c r="C1471" s="81">
        <v>128</v>
      </c>
    </row>
    <row r="1472" spans="1:3" x14ac:dyDescent="0.2">
      <c r="A1472" s="90" t="s">
        <v>513</v>
      </c>
      <c r="B1472" s="74" t="s">
        <v>935</v>
      </c>
      <c r="C1472" s="81">
        <v>128</v>
      </c>
    </row>
    <row r="1473" spans="1:3" x14ac:dyDescent="0.2">
      <c r="A1473" s="90" t="s">
        <v>513</v>
      </c>
      <c r="B1473" s="74" t="s">
        <v>935</v>
      </c>
      <c r="C1473" s="81">
        <v>128</v>
      </c>
    </row>
    <row r="1474" spans="1:3" x14ac:dyDescent="0.2">
      <c r="A1474" s="90" t="s">
        <v>513</v>
      </c>
      <c r="B1474" s="74" t="s">
        <v>936</v>
      </c>
      <c r="C1474" s="81">
        <v>124</v>
      </c>
    </row>
    <row r="1475" spans="1:3" x14ac:dyDescent="0.2">
      <c r="A1475" s="90" t="s">
        <v>513</v>
      </c>
      <c r="B1475" s="74" t="s">
        <v>936</v>
      </c>
      <c r="C1475" s="81">
        <v>124</v>
      </c>
    </row>
    <row r="1476" spans="1:3" x14ac:dyDescent="0.2">
      <c r="A1476" s="90" t="s">
        <v>513</v>
      </c>
      <c r="B1476" s="74" t="s">
        <v>936</v>
      </c>
      <c r="C1476" s="81">
        <v>124</v>
      </c>
    </row>
    <row r="1477" spans="1:3" x14ac:dyDescent="0.2">
      <c r="A1477" s="90" t="s">
        <v>513</v>
      </c>
      <c r="B1477" s="74" t="s">
        <v>936</v>
      </c>
      <c r="C1477" s="81">
        <v>124</v>
      </c>
    </row>
    <row r="1478" spans="1:3" x14ac:dyDescent="0.2">
      <c r="A1478" s="90" t="s">
        <v>513</v>
      </c>
      <c r="B1478" s="74" t="s">
        <v>936</v>
      </c>
      <c r="C1478" s="81">
        <v>124</v>
      </c>
    </row>
    <row r="1479" spans="1:3" x14ac:dyDescent="0.2">
      <c r="A1479" s="90" t="s">
        <v>513</v>
      </c>
      <c r="B1479" s="74" t="s">
        <v>936</v>
      </c>
      <c r="C1479" s="81">
        <v>124</v>
      </c>
    </row>
    <row r="1480" spans="1:3" x14ac:dyDescent="0.2">
      <c r="A1480" s="90" t="s">
        <v>513</v>
      </c>
      <c r="B1480" s="74" t="s">
        <v>937</v>
      </c>
      <c r="C1480" s="81">
        <v>144</v>
      </c>
    </row>
    <row r="1481" spans="1:3" x14ac:dyDescent="0.2">
      <c r="A1481" s="90" t="s">
        <v>513</v>
      </c>
      <c r="B1481" s="74" t="s">
        <v>937</v>
      </c>
      <c r="C1481" s="81">
        <v>144</v>
      </c>
    </row>
    <row r="1482" spans="1:3" x14ac:dyDescent="0.2">
      <c r="A1482" s="90" t="s">
        <v>513</v>
      </c>
      <c r="B1482" s="74" t="s">
        <v>937</v>
      </c>
      <c r="C1482" s="81">
        <v>144</v>
      </c>
    </row>
    <row r="1483" spans="1:3" x14ac:dyDescent="0.2">
      <c r="A1483" s="90" t="s">
        <v>513</v>
      </c>
      <c r="B1483" s="74" t="s">
        <v>937</v>
      </c>
      <c r="C1483" s="81">
        <v>144</v>
      </c>
    </row>
    <row r="1484" spans="1:3" x14ac:dyDescent="0.2">
      <c r="A1484" s="90" t="s">
        <v>513</v>
      </c>
      <c r="B1484" s="74" t="s">
        <v>937</v>
      </c>
      <c r="C1484" s="81">
        <v>144</v>
      </c>
    </row>
    <row r="1485" spans="1:3" x14ac:dyDescent="0.2">
      <c r="A1485" s="90" t="s">
        <v>513</v>
      </c>
      <c r="B1485" s="74" t="s">
        <v>937</v>
      </c>
      <c r="C1485" s="81">
        <v>144</v>
      </c>
    </row>
    <row r="1486" spans="1:3" x14ac:dyDescent="0.2">
      <c r="A1486" s="90" t="s">
        <v>513</v>
      </c>
      <c r="B1486" s="74" t="s">
        <v>938</v>
      </c>
      <c r="C1486" s="81">
        <v>160</v>
      </c>
    </row>
    <row r="1487" spans="1:3" x14ac:dyDescent="0.2">
      <c r="A1487" s="90" t="s">
        <v>513</v>
      </c>
      <c r="B1487" s="74" t="s">
        <v>938</v>
      </c>
      <c r="C1487" s="81">
        <v>160</v>
      </c>
    </row>
    <row r="1488" spans="1:3" x14ac:dyDescent="0.2">
      <c r="A1488" s="90" t="s">
        <v>513</v>
      </c>
      <c r="B1488" s="74" t="s">
        <v>938</v>
      </c>
      <c r="C1488" s="81">
        <v>160</v>
      </c>
    </row>
    <row r="1489" spans="1:3" x14ac:dyDescent="0.2">
      <c r="A1489" s="90" t="s">
        <v>513</v>
      </c>
      <c r="B1489" s="74" t="s">
        <v>938</v>
      </c>
      <c r="C1489" s="81">
        <v>160</v>
      </c>
    </row>
    <row r="1490" spans="1:3" x14ac:dyDescent="0.2">
      <c r="A1490" s="90" t="s">
        <v>513</v>
      </c>
      <c r="B1490" s="74" t="s">
        <v>938</v>
      </c>
      <c r="C1490" s="81">
        <v>160</v>
      </c>
    </row>
    <row r="1491" spans="1:3" x14ac:dyDescent="0.2">
      <c r="A1491" s="90" t="s">
        <v>513</v>
      </c>
      <c r="B1491" s="74" t="s">
        <v>938</v>
      </c>
      <c r="C1491" s="81">
        <v>160</v>
      </c>
    </row>
    <row r="1492" spans="1:3" x14ac:dyDescent="0.2">
      <c r="A1492" s="90" t="s">
        <v>513</v>
      </c>
      <c r="B1492" s="74" t="s">
        <v>939</v>
      </c>
      <c r="C1492" s="81">
        <v>96</v>
      </c>
    </row>
    <row r="1493" spans="1:3" x14ac:dyDescent="0.2">
      <c r="A1493" s="90" t="s">
        <v>513</v>
      </c>
      <c r="B1493" s="74" t="s">
        <v>939</v>
      </c>
      <c r="C1493" s="81">
        <v>96</v>
      </c>
    </row>
    <row r="1494" spans="1:3" x14ac:dyDescent="0.2">
      <c r="A1494" s="90" t="s">
        <v>513</v>
      </c>
      <c r="B1494" s="74" t="s">
        <v>939</v>
      </c>
      <c r="C1494" s="81">
        <v>96</v>
      </c>
    </row>
    <row r="1495" spans="1:3" x14ac:dyDescent="0.2">
      <c r="A1495" s="90" t="s">
        <v>513</v>
      </c>
      <c r="B1495" s="74" t="s">
        <v>939</v>
      </c>
      <c r="C1495" s="81">
        <v>96</v>
      </c>
    </row>
    <row r="1496" spans="1:3" x14ac:dyDescent="0.2">
      <c r="A1496" s="90" t="s">
        <v>513</v>
      </c>
      <c r="B1496" s="74" t="s">
        <v>939</v>
      </c>
      <c r="C1496" s="81">
        <v>96</v>
      </c>
    </row>
    <row r="1497" spans="1:3" x14ac:dyDescent="0.2">
      <c r="A1497" s="90" t="s">
        <v>513</v>
      </c>
      <c r="B1497" s="74" t="s">
        <v>939</v>
      </c>
      <c r="C1497" s="81">
        <v>96</v>
      </c>
    </row>
    <row r="1498" spans="1:3" x14ac:dyDescent="0.2">
      <c r="A1498" s="90" t="s">
        <v>513</v>
      </c>
      <c r="B1498" s="74" t="s">
        <v>940</v>
      </c>
      <c r="C1498" s="81">
        <v>84</v>
      </c>
    </row>
    <row r="1499" spans="1:3" x14ac:dyDescent="0.2">
      <c r="A1499" s="90" t="s">
        <v>513</v>
      </c>
      <c r="B1499" s="74" t="s">
        <v>940</v>
      </c>
      <c r="C1499" s="81">
        <v>84</v>
      </c>
    </row>
    <row r="1500" spans="1:3" x14ac:dyDescent="0.2">
      <c r="A1500" s="90" t="s">
        <v>513</v>
      </c>
      <c r="B1500" s="74" t="s">
        <v>940</v>
      </c>
      <c r="C1500" s="81">
        <v>84</v>
      </c>
    </row>
    <row r="1501" spans="1:3" x14ac:dyDescent="0.2">
      <c r="A1501" s="90" t="s">
        <v>513</v>
      </c>
      <c r="B1501" s="74" t="s">
        <v>940</v>
      </c>
      <c r="C1501" s="81">
        <v>84</v>
      </c>
    </row>
    <row r="1502" spans="1:3" x14ac:dyDescent="0.2">
      <c r="A1502" s="90" t="s">
        <v>513</v>
      </c>
      <c r="B1502" s="74" t="s">
        <v>940</v>
      </c>
      <c r="C1502" s="81">
        <v>84</v>
      </c>
    </row>
    <row r="1503" spans="1:3" x14ac:dyDescent="0.2">
      <c r="A1503" s="90" t="s">
        <v>513</v>
      </c>
      <c r="B1503" s="74" t="s">
        <v>940</v>
      </c>
      <c r="C1503" s="81">
        <v>84</v>
      </c>
    </row>
    <row r="1504" spans="1:3" x14ac:dyDescent="0.2">
      <c r="A1504" s="90" t="s">
        <v>513</v>
      </c>
      <c r="B1504" s="74" t="s">
        <v>941</v>
      </c>
      <c r="C1504" s="81">
        <v>120</v>
      </c>
    </row>
    <row r="1505" spans="1:3" x14ac:dyDescent="0.2">
      <c r="A1505" s="90" t="s">
        <v>513</v>
      </c>
      <c r="B1505" s="74" t="s">
        <v>941</v>
      </c>
      <c r="C1505" s="81">
        <v>120</v>
      </c>
    </row>
    <row r="1506" spans="1:3" x14ac:dyDescent="0.2">
      <c r="A1506" s="90" t="s">
        <v>513</v>
      </c>
      <c r="B1506" s="74" t="s">
        <v>941</v>
      </c>
      <c r="C1506" s="81">
        <v>120</v>
      </c>
    </row>
    <row r="1507" spans="1:3" x14ac:dyDescent="0.2">
      <c r="A1507" s="90" t="s">
        <v>513</v>
      </c>
      <c r="B1507" s="74" t="s">
        <v>941</v>
      </c>
      <c r="C1507" s="81">
        <v>120</v>
      </c>
    </row>
    <row r="1508" spans="1:3" x14ac:dyDescent="0.2">
      <c r="A1508" s="90" t="s">
        <v>513</v>
      </c>
      <c r="B1508" s="74" t="s">
        <v>941</v>
      </c>
      <c r="C1508" s="81">
        <v>120</v>
      </c>
    </row>
    <row r="1509" spans="1:3" x14ac:dyDescent="0.2">
      <c r="A1509" s="90" t="s">
        <v>513</v>
      </c>
      <c r="B1509" s="74" t="s">
        <v>941</v>
      </c>
      <c r="C1509" s="81">
        <v>120</v>
      </c>
    </row>
    <row r="1510" spans="1:3" x14ac:dyDescent="0.2">
      <c r="A1510" s="90" t="s">
        <v>513</v>
      </c>
      <c r="B1510" s="74" t="s">
        <v>942</v>
      </c>
      <c r="C1510" s="81">
        <v>192</v>
      </c>
    </row>
    <row r="1511" spans="1:3" x14ac:dyDescent="0.2">
      <c r="A1511" s="90" t="s">
        <v>513</v>
      </c>
      <c r="B1511" s="74" t="s">
        <v>942</v>
      </c>
      <c r="C1511" s="81">
        <v>192</v>
      </c>
    </row>
    <row r="1512" spans="1:3" x14ac:dyDescent="0.2">
      <c r="A1512" s="90" t="s">
        <v>513</v>
      </c>
      <c r="B1512" s="74" t="s">
        <v>942</v>
      </c>
      <c r="C1512" s="81">
        <v>192</v>
      </c>
    </row>
    <row r="1513" spans="1:3" x14ac:dyDescent="0.2">
      <c r="A1513" s="90" t="s">
        <v>513</v>
      </c>
      <c r="B1513" s="74" t="s">
        <v>942</v>
      </c>
      <c r="C1513" s="81">
        <v>192</v>
      </c>
    </row>
    <row r="1514" spans="1:3" x14ac:dyDescent="0.2">
      <c r="A1514" s="90" t="s">
        <v>513</v>
      </c>
      <c r="B1514" s="74" t="s">
        <v>942</v>
      </c>
      <c r="C1514" s="81">
        <v>192</v>
      </c>
    </row>
    <row r="1515" spans="1:3" x14ac:dyDescent="0.2">
      <c r="A1515" s="90" t="s">
        <v>513</v>
      </c>
      <c r="B1515" s="74" t="s">
        <v>942</v>
      </c>
      <c r="C1515" s="81">
        <v>192</v>
      </c>
    </row>
    <row r="1516" spans="1:3" x14ac:dyDescent="0.2">
      <c r="A1516" s="90" t="s">
        <v>513</v>
      </c>
      <c r="B1516" s="74" t="s">
        <v>943</v>
      </c>
      <c r="C1516" s="81">
        <v>128</v>
      </c>
    </row>
    <row r="1517" spans="1:3" x14ac:dyDescent="0.2">
      <c r="A1517" s="90" t="s">
        <v>513</v>
      </c>
      <c r="B1517" s="74" t="s">
        <v>943</v>
      </c>
      <c r="C1517" s="81">
        <v>128</v>
      </c>
    </row>
    <row r="1518" spans="1:3" x14ac:dyDescent="0.2">
      <c r="A1518" s="90" t="s">
        <v>513</v>
      </c>
      <c r="B1518" s="74" t="s">
        <v>943</v>
      </c>
      <c r="C1518" s="81">
        <v>128</v>
      </c>
    </row>
    <row r="1519" spans="1:3" x14ac:dyDescent="0.2">
      <c r="A1519" s="90" t="s">
        <v>513</v>
      </c>
      <c r="B1519" s="74" t="s">
        <v>943</v>
      </c>
      <c r="C1519" s="81">
        <v>128</v>
      </c>
    </row>
    <row r="1520" spans="1:3" x14ac:dyDescent="0.2">
      <c r="A1520" s="90" t="s">
        <v>513</v>
      </c>
      <c r="B1520" s="74" t="s">
        <v>943</v>
      </c>
      <c r="C1520" s="81">
        <v>128</v>
      </c>
    </row>
    <row r="1521" spans="1:3" x14ac:dyDescent="0.2">
      <c r="A1521" s="90" t="s">
        <v>513</v>
      </c>
      <c r="B1521" s="74" t="s">
        <v>943</v>
      </c>
      <c r="C1521" s="81">
        <v>128</v>
      </c>
    </row>
    <row r="1522" spans="1:3" x14ac:dyDescent="0.2">
      <c r="A1522" s="90" t="s">
        <v>513</v>
      </c>
      <c r="B1522" s="74" t="s">
        <v>944</v>
      </c>
      <c r="C1522" s="81">
        <v>176</v>
      </c>
    </row>
    <row r="1523" spans="1:3" x14ac:dyDescent="0.2">
      <c r="A1523" s="90" t="s">
        <v>513</v>
      </c>
      <c r="B1523" s="74" t="s">
        <v>944</v>
      </c>
      <c r="C1523" s="81">
        <v>176</v>
      </c>
    </row>
    <row r="1524" spans="1:3" x14ac:dyDescent="0.2">
      <c r="A1524" s="90" t="s">
        <v>513</v>
      </c>
      <c r="B1524" s="74" t="s">
        <v>944</v>
      </c>
      <c r="C1524" s="81">
        <v>176</v>
      </c>
    </row>
    <row r="1525" spans="1:3" x14ac:dyDescent="0.2">
      <c r="A1525" s="90" t="s">
        <v>513</v>
      </c>
      <c r="B1525" s="74" t="s">
        <v>944</v>
      </c>
      <c r="C1525" s="81">
        <v>176</v>
      </c>
    </row>
    <row r="1526" spans="1:3" x14ac:dyDescent="0.2">
      <c r="A1526" s="90" t="s">
        <v>513</v>
      </c>
      <c r="B1526" s="74" t="s">
        <v>944</v>
      </c>
      <c r="C1526" s="81">
        <v>176</v>
      </c>
    </row>
    <row r="1527" spans="1:3" x14ac:dyDescent="0.2">
      <c r="A1527" s="90" t="s">
        <v>513</v>
      </c>
      <c r="B1527" s="74" t="s">
        <v>944</v>
      </c>
      <c r="C1527" s="81">
        <v>176</v>
      </c>
    </row>
    <row r="1528" spans="1:3" x14ac:dyDescent="0.2">
      <c r="A1528" s="90" t="s">
        <v>513</v>
      </c>
      <c r="B1528" s="74" t="s">
        <v>945</v>
      </c>
      <c r="C1528" s="81">
        <v>76</v>
      </c>
    </row>
    <row r="1529" spans="1:3" x14ac:dyDescent="0.2">
      <c r="A1529" s="90" t="s">
        <v>513</v>
      </c>
      <c r="B1529" s="74" t="s">
        <v>945</v>
      </c>
      <c r="C1529" s="81">
        <v>76</v>
      </c>
    </row>
    <row r="1530" spans="1:3" x14ac:dyDescent="0.2">
      <c r="A1530" s="90" t="s">
        <v>513</v>
      </c>
      <c r="B1530" s="74" t="s">
        <v>945</v>
      </c>
      <c r="C1530" s="81">
        <v>76</v>
      </c>
    </row>
    <row r="1531" spans="1:3" x14ac:dyDescent="0.2">
      <c r="A1531" s="90" t="s">
        <v>513</v>
      </c>
      <c r="B1531" s="74" t="s">
        <v>945</v>
      </c>
      <c r="C1531" s="81">
        <v>76</v>
      </c>
    </row>
    <row r="1532" spans="1:3" x14ac:dyDescent="0.2">
      <c r="A1532" s="90" t="s">
        <v>513</v>
      </c>
      <c r="B1532" s="74" t="s">
        <v>945</v>
      </c>
      <c r="C1532" s="81">
        <v>76</v>
      </c>
    </row>
    <row r="1533" spans="1:3" x14ac:dyDescent="0.2">
      <c r="A1533" s="90" t="s">
        <v>513</v>
      </c>
      <c r="B1533" s="74" t="s">
        <v>945</v>
      </c>
      <c r="C1533" s="81">
        <v>76</v>
      </c>
    </row>
    <row r="1534" spans="1:3" x14ac:dyDescent="0.2">
      <c r="A1534" s="90" t="s">
        <v>513</v>
      </c>
      <c r="B1534" s="74" t="s">
        <v>946</v>
      </c>
      <c r="C1534" s="81">
        <v>360</v>
      </c>
    </row>
    <row r="1535" spans="1:3" x14ac:dyDescent="0.2">
      <c r="A1535" s="90" t="s">
        <v>513</v>
      </c>
      <c r="B1535" s="74" t="s">
        <v>946</v>
      </c>
      <c r="C1535" s="81">
        <v>360</v>
      </c>
    </row>
    <row r="1536" spans="1:3" x14ac:dyDescent="0.2">
      <c r="A1536" s="90" t="s">
        <v>513</v>
      </c>
      <c r="B1536" s="74" t="s">
        <v>946</v>
      </c>
      <c r="C1536" s="81">
        <v>360</v>
      </c>
    </row>
    <row r="1537" spans="1:3" x14ac:dyDescent="0.2">
      <c r="A1537" s="90" t="s">
        <v>513</v>
      </c>
      <c r="B1537" s="74" t="s">
        <v>946</v>
      </c>
      <c r="C1537" s="81">
        <v>360</v>
      </c>
    </row>
    <row r="1538" spans="1:3" x14ac:dyDescent="0.2">
      <c r="A1538" s="90" t="s">
        <v>513</v>
      </c>
      <c r="B1538" s="74" t="s">
        <v>946</v>
      </c>
      <c r="C1538" s="81">
        <v>360</v>
      </c>
    </row>
    <row r="1539" spans="1:3" x14ac:dyDescent="0.2">
      <c r="A1539" s="90" t="s">
        <v>513</v>
      </c>
      <c r="B1539" s="74" t="s">
        <v>946</v>
      </c>
      <c r="C1539" s="81">
        <v>360</v>
      </c>
    </row>
    <row r="1540" spans="1:3" x14ac:dyDescent="0.2">
      <c r="A1540" s="90" t="s">
        <v>513</v>
      </c>
      <c r="B1540" s="74" t="s">
        <v>947</v>
      </c>
      <c r="C1540" s="81">
        <v>112</v>
      </c>
    </row>
    <row r="1541" spans="1:3" x14ac:dyDescent="0.2">
      <c r="A1541" s="90" t="s">
        <v>513</v>
      </c>
      <c r="B1541" s="74" t="s">
        <v>947</v>
      </c>
      <c r="C1541" s="81">
        <v>112</v>
      </c>
    </row>
    <row r="1542" spans="1:3" x14ac:dyDescent="0.2">
      <c r="A1542" s="90" t="s">
        <v>513</v>
      </c>
      <c r="B1542" s="74" t="s">
        <v>947</v>
      </c>
      <c r="C1542" s="81">
        <v>112</v>
      </c>
    </row>
    <row r="1543" spans="1:3" x14ac:dyDescent="0.2">
      <c r="A1543" s="90" t="s">
        <v>513</v>
      </c>
      <c r="B1543" s="74" t="s">
        <v>947</v>
      </c>
      <c r="C1543" s="81">
        <v>112</v>
      </c>
    </row>
    <row r="1544" spans="1:3" x14ac:dyDescent="0.2">
      <c r="A1544" s="90" t="s">
        <v>513</v>
      </c>
      <c r="B1544" s="74" t="s">
        <v>947</v>
      </c>
      <c r="C1544" s="81">
        <v>112</v>
      </c>
    </row>
    <row r="1545" spans="1:3" x14ac:dyDescent="0.2">
      <c r="A1545" s="90" t="s">
        <v>513</v>
      </c>
      <c r="B1545" s="74" t="s">
        <v>947</v>
      </c>
      <c r="C1545" s="81">
        <v>112</v>
      </c>
    </row>
    <row r="1546" spans="1:3" x14ac:dyDescent="0.2">
      <c r="A1546" s="90" t="s">
        <v>513</v>
      </c>
      <c r="B1546" s="74" t="s">
        <v>948</v>
      </c>
      <c r="C1546" s="81">
        <v>80</v>
      </c>
    </row>
    <row r="1547" spans="1:3" x14ac:dyDescent="0.2">
      <c r="A1547" s="90" t="s">
        <v>513</v>
      </c>
      <c r="B1547" s="74" t="s">
        <v>948</v>
      </c>
      <c r="C1547" s="81">
        <v>80</v>
      </c>
    </row>
    <row r="1548" spans="1:3" x14ac:dyDescent="0.2">
      <c r="A1548" s="90" t="s">
        <v>513</v>
      </c>
      <c r="B1548" s="74" t="s">
        <v>948</v>
      </c>
      <c r="C1548" s="81">
        <v>80</v>
      </c>
    </row>
    <row r="1549" spans="1:3" x14ac:dyDescent="0.2">
      <c r="A1549" s="90" t="s">
        <v>513</v>
      </c>
      <c r="B1549" s="74" t="s">
        <v>948</v>
      </c>
      <c r="C1549" s="81">
        <v>80</v>
      </c>
    </row>
    <row r="1550" spans="1:3" x14ac:dyDescent="0.2">
      <c r="A1550" s="90" t="s">
        <v>513</v>
      </c>
      <c r="B1550" s="74" t="s">
        <v>948</v>
      </c>
      <c r="C1550" s="81">
        <v>80</v>
      </c>
    </row>
    <row r="1551" spans="1:3" x14ac:dyDescent="0.2">
      <c r="A1551" s="90" t="s">
        <v>513</v>
      </c>
      <c r="B1551" s="74" t="s">
        <v>948</v>
      </c>
      <c r="C1551" s="81">
        <v>80</v>
      </c>
    </row>
    <row r="1552" spans="1:3" x14ac:dyDescent="0.2">
      <c r="A1552" s="90" t="s">
        <v>513</v>
      </c>
      <c r="B1552" s="74" t="s">
        <v>949</v>
      </c>
      <c r="C1552" s="81">
        <v>80</v>
      </c>
    </row>
    <row r="1553" spans="1:3" x14ac:dyDescent="0.2">
      <c r="A1553" s="90" t="s">
        <v>513</v>
      </c>
      <c r="B1553" s="74" t="s">
        <v>949</v>
      </c>
      <c r="C1553" s="81">
        <v>80</v>
      </c>
    </row>
    <row r="1554" spans="1:3" x14ac:dyDescent="0.2">
      <c r="A1554" s="90" t="s">
        <v>513</v>
      </c>
      <c r="B1554" s="74" t="s">
        <v>949</v>
      </c>
      <c r="C1554" s="81">
        <v>80</v>
      </c>
    </row>
    <row r="1555" spans="1:3" x14ac:dyDescent="0.2">
      <c r="A1555" s="90" t="s">
        <v>513</v>
      </c>
      <c r="B1555" s="74" t="s">
        <v>949</v>
      </c>
      <c r="C1555" s="81">
        <v>80</v>
      </c>
    </row>
    <row r="1556" spans="1:3" x14ac:dyDescent="0.2">
      <c r="A1556" s="90" t="s">
        <v>513</v>
      </c>
      <c r="B1556" s="74" t="s">
        <v>949</v>
      </c>
      <c r="C1556" s="81">
        <v>80</v>
      </c>
    </row>
    <row r="1557" spans="1:3" x14ac:dyDescent="0.2">
      <c r="A1557" s="90" t="s">
        <v>513</v>
      </c>
      <c r="B1557" s="74" t="s">
        <v>949</v>
      </c>
      <c r="C1557" s="81">
        <v>80</v>
      </c>
    </row>
    <row r="1558" spans="1:3" x14ac:dyDescent="0.2">
      <c r="A1558" s="90" t="s">
        <v>513</v>
      </c>
      <c r="B1558" s="74" t="s">
        <v>950</v>
      </c>
      <c r="C1558" s="81">
        <v>108</v>
      </c>
    </row>
    <row r="1559" spans="1:3" x14ac:dyDescent="0.2">
      <c r="A1559" s="90" t="s">
        <v>513</v>
      </c>
      <c r="B1559" s="74" t="s">
        <v>950</v>
      </c>
      <c r="C1559" s="81">
        <v>108</v>
      </c>
    </row>
    <row r="1560" spans="1:3" x14ac:dyDescent="0.2">
      <c r="A1560" s="90" t="s">
        <v>513</v>
      </c>
      <c r="B1560" s="74" t="s">
        <v>951</v>
      </c>
      <c r="C1560" s="81">
        <v>130.5</v>
      </c>
    </row>
    <row r="1561" spans="1:3" x14ac:dyDescent="0.2">
      <c r="A1561" s="90" t="s">
        <v>513</v>
      </c>
      <c r="B1561" s="74" t="s">
        <v>952</v>
      </c>
      <c r="C1561" s="81">
        <v>81</v>
      </c>
    </row>
    <row r="1562" spans="1:3" x14ac:dyDescent="0.2">
      <c r="A1562" s="90" t="s">
        <v>513</v>
      </c>
      <c r="B1562" s="74" t="s">
        <v>952</v>
      </c>
      <c r="C1562" s="81">
        <v>81</v>
      </c>
    </row>
    <row r="1563" spans="1:3" x14ac:dyDescent="0.2">
      <c r="A1563" s="90" t="s">
        <v>513</v>
      </c>
      <c r="B1563" s="74" t="s">
        <v>952</v>
      </c>
      <c r="C1563" s="81">
        <v>81</v>
      </c>
    </row>
    <row r="1564" spans="1:3" x14ac:dyDescent="0.2">
      <c r="A1564" s="90" t="s">
        <v>513</v>
      </c>
      <c r="B1564" s="74" t="s">
        <v>953</v>
      </c>
      <c r="C1564" s="81">
        <v>130.5</v>
      </c>
    </row>
    <row r="1565" spans="1:3" x14ac:dyDescent="0.2">
      <c r="A1565" s="90" t="s">
        <v>513</v>
      </c>
      <c r="B1565" s="74" t="s">
        <v>953</v>
      </c>
      <c r="C1565" s="81">
        <v>130.5</v>
      </c>
    </row>
    <row r="1566" spans="1:3" x14ac:dyDescent="0.2">
      <c r="A1566" s="90" t="s">
        <v>513</v>
      </c>
      <c r="B1566" s="74" t="s">
        <v>953</v>
      </c>
      <c r="C1566" s="81">
        <v>130.5</v>
      </c>
    </row>
    <row r="1567" spans="1:3" x14ac:dyDescent="0.2">
      <c r="A1567" s="90" t="s">
        <v>513</v>
      </c>
      <c r="B1567" s="74" t="s">
        <v>954</v>
      </c>
      <c r="C1567" s="81">
        <v>81</v>
      </c>
    </row>
    <row r="1568" spans="1:3" x14ac:dyDescent="0.2">
      <c r="A1568" s="90" t="s">
        <v>513</v>
      </c>
      <c r="B1568" s="74" t="s">
        <v>954</v>
      </c>
      <c r="C1568" s="81">
        <v>81</v>
      </c>
    </row>
    <row r="1569" spans="1:3" x14ac:dyDescent="0.2">
      <c r="A1569" s="90" t="s">
        <v>513</v>
      </c>
      <c r="B1569" s="74" t="s">
        <v>954</v>
      </c>
      <c r="C1569" s="81">
        <v>81</v>
      </c>
    </row>
    <row r="1570" spans="1:3" x14ac:dyDescent="0.2">
      <c r="A1570" s="90" t="s">
        <v>513</v>
      </c>
      <c r="B1570" s="74" t="s">
        <v>955</v>
      </c>
      <c r="C1570" s="81">
        <v>130.5</v>
      </c>
    </row>
    <row r="1571" spans="1:3" x14ac:dyDescent="0.2">
      <c r="A1571" s="90" t="s">
        <v>513</v>
      </c>
      <c r="B1571" s="74" t="s">
        <v>955</v>
      </c>
      <c r="C1571" s="81">
        <v>130.5</v>
      </c>
    </row>
    <row r="1572" spans="1:3" x14ac:dyDescent="0.2">
      <c r="A1572" s="90" t="s">
        <v>513</v>
      </c>
      <c r="B1572" s="74" t="s">
        <v>955</v>
      </c>
      <c r="C1572" s="81">
        <v>130.5</v>
      </c>
    </row>
    <row r="1573" spans="1:3" x14ac:dyDescent="0.2">
      <c r="A1573" s="90" t="s">
        <v>513</v>
      </c>
      <c r="B1573" s="74" t="s">
        <v>956</v>
      </c>
      <c r="C1573" s="81">
        <v>103.5</v>
      </c>
    </row>
    <row r="1574" spans="1:3" x14ac:dyDescent="0.2">
      <c r="A1574" s="90" t="s">
        <v>513</v>
      </c>
      <c r="B1574" s="74" t="s">
        <v>956</v>
      </c>
      <c r="C1574" s="81">
        <v>103.5</v>
      </c>
    </row>
    <row r="1575" spans="1:3" x14ac:dyDescent="0.2">
      <c r="A1575" s="90" t="s">
        <v>513</v>
      </c>
      <c r="B1575" s="74" t="s">
        <v>956</v>
      </c>
      <c r="C1575" s="81">
        <v>103.5</v>
      </c>
    </row>
    <row r="1576" spans="1:3" x14ac:dyDescent="0.2">
      <c r="A1576" s="90" t="s">
        <v>513</v>
      </c>
      <c r="B1576" s="74" t="s">
        <v>957</v>
      </c>
      <c r="C1576" s="81">
        <v>130.5</v>
      </c>
    </row>
    <row r="1577" spans="1:3" x14ac:dyDescent="0.2">
      <c r="A1577" s="90" t="s">
        <v>513</v>
      </c>
      <c r="B1577" s="74" t="s">
        <v>957</v>
      </c>
      <c r="C1577" s="81">
        <v>130.5</v>
      </c>
    </row>
    <row r="1578" spans="1:3" x14ac:dyDescent="0.2">
      <c r="A1578" s="90" t="s">
        <v>513</v>
      </c>
      <c r="B1578" s="74" t="s">
        <v>957</v>
      </c>
      <c r="C1578" s="81">
        <v>130.5</v>
      </c>
    </row>
    <row r="1579" spans="1:3" x14ac:dyDescent="0.2">
      <c r="A1579" s="90" t="s">
        <v>513</v>
      </c>
      <c r="B1579" s="74" t="s">
        <v>958</v>
      </c>
      <c r="C1579" s="81">
        <v>220.5</v>
      </c>
    </row>
    <row r="1580" spans="1:3" x14ac:dyDescent="0.2">
      <c r="A1580" s="90" t="s">
        <v>513</v>
      </c>
      <c r="B1580" s="74" t="s">
        <v>958</v>
      </c>
      <c r="C1580" s="81">
        <v>220.5</v>
      </c>
    </row>
    <row r="1581" spans="1:3" x14ac:dyDescent="0.2">
      <c r="A1581" s="90" t="s">
        <v>513</v>
      </c>
      <c r="B1581" s="74" t="s">
        <v>958</v>
      </c>
      <c r="C1581" s="81">
        <v>220.5</v>
      </c>
    </row>
    <row r="1582" spans="1:3" x14ac:dyDescent="0.2">
      <c r="A1582" s="90" t="s">
        <v>513</v>
      </c>
      <c r="B1582" s="74" t="s">
        <v>959</v>
      </c>
      <c r="C1582" s="81">
        <v>409.5</v>
      </c>
    </row>
    <row r="1583" spans="1:3" x14ac:dyDescent="0.2">
      <c r="A1583" s="90" t="s">
        <v>513</v>
      </c>
      <c r="B1583" s="74" t="s">
        <v>959</v>
      </c>
      <c r="C1583" s="81">
        <v>409.5</v>
      </c>
    </row>
    <row r="1584" spans="1:3" x14ac:dyDescent="0.2">
      <c r="A1584" s="90" t="s">
        <v>513</v>
      </c>
      <c r="B1584" s="74" t="s">
        <v>959</v>
      </c>
      <c r="C1584" s="81">
        <v>409.5</v>
      </c>
    </row>
    <row r="1585" spans="1:3" x14ac:dyDescent="0.2">
      <c r="A1585" s="90" t="s">
        <v>513</v>
      </c>
      <c r="B1585" s="74" t="s">
        <v>960</v>
      </c>
      <c r="C1585" s="81">
        <v>329.4</v>
      </c>
    </row>
    <row r="1586" spans="1:3" x14ac:dyDescent="0.2">
      <c r="A1586" s="90" t="s">
        <v>513</v>
      </c>
      <c r="B1586" s="74" t="s">
        <v>960</v>
      </c>
      <c r="C1586" s="81">
        <v>329.4</v>
      </c>
    </row>
    <row r="1587" spans="1:3" x14ac:dyDescent="0.2">
      <c r="A1587" s="90" t="s">
        <v>513</v>
      </c>
      <c r="B1587" s="74" t="s">
        <v>960</v>
      </c>
      <c r="C1587" s="81">
        <v>329.4</v>
      </c>
    </row>
    <row r="1588" spans="1:3" x14ac:dyDescent="0.2">
      <c r="A1588" s="90" t="s">
        <v>513</v>
      </c>
      <c r="B1588" s="74" t="s">
        <v>961</v>
      </c>
      <c r="C1588" s="81">
        <v>360</v>
      </c>
    </row>
    <row r="1589" spans="1:3" x14ac:dyDescent="0.2">
      <c r="A1589" s="90" t="s">
        <v>513</v>
      </c>
      <c r="B1589" s="74" t="s">
        <v>961</v>
      </c>
      <c r="C1589" s="81">
        <v>360</v>
      </c>
    </row>
    <row r="1590" spans="1:3" x14ac:dyDescent="0.2">
      <c r="A1590" s="90" t="s">
        <v>513</v>
      </c>
      <c r="B1590" s="74" t="s">
        <v>962</v>
      </c>
      <c r="C1590" s="81">
        <v>283.5</v>
      </c>
    </row>
    <row r="1591" spans="1:3" x14ac:dyDescent="0.2">
      <c r="A1591" s="90" t="s">
        <v>513</v>
      </c>
      <c r="B1591" s="74" t="s">
        <v>962</v>
      </c>
      <c r="C1591" s="81">
        <v>283.5</v>
      </c>
    </row>
    <row r="1592" spans="1:3" x14ac:dyDescent="0.2">
      <c r="A1592" s="90" t="s">
        <v>513</v>
      </c>
      <c r="B1592" s="74" t="s">
        <v>962</v>
      </c>
      <c r="C1592" s="81">
        <v>283.5</v>
      </c>
    </row>
    <row r="1593" spans="1:3" x14ac:dyDescent="0.2">
      <c r="A1593" s="90" t="s">
        <v>513</v>
      </c>
      <c r="B1593" s="74" t="s">
        <v>672</v>
      </c>
      <c r="C1593" s="81">
        <v>367.2</v>
      </c>
    </row>
    <row r="1594" spans="1:3" x14ac:dyDescent="0.2">
      <c r="A1594" s="90" t="s">
        <v>513</v>
      </c>
      <c r="B1594" s="74" t="s">
        <v>672</v>
      </c>
      <c r="C1594" s="81">
        <v>367.2</v>
      </c>
    </row>
    <row r="1595" spans="1:3" x14ac:dyDescent="0.2">
      <c r="A1595" s="90" t="s">
        <v>513</v>
      </c>
      <c r="B1595" s="74" t="s">
        <v>963</v>
      </c>
      <c r="C1595" s="81">
        <v>184.5</v>
      </c>
    </row>
    <row r="1596" spans="1:3" x14ac:dyDescent="0.2">
      <c r="A1596" s="90" t="s">
        <v>513</v>
      </c>
      <c r="B1596" s="74" t="s">
        <v>963</v>
      </c>
      <c r="C1596" s="81">
        <v>184.5</v>
      </c>
    </row>
    <row r="1597" spans="1:3" x14ac:dyDescent="0.2">
      <c r="A1597" s="90" t="s">
        <v>513</v>
      </c>
      <c r="B1597" s="74" t="s">
        <v>963</v>
      </c>
      <c r="C1597" s="81">
        <v>184.5</v>
      </c>
    </row>
    <row r="1598" spans="1:3" x14ac:dyDescent="0.2">
      <c r="A1598" s="90" t="s">
        <v>513</v>
      </c>
      <c r="B1598" s="74" t="s">
        <v>964</v>
      </c>
      <c r="C1598" s="81">
        <v>162</v>
      </c>
    </row>
    <row r="1599" spans="1:3" x14ac:dyDescent="0.2">
      <c r="A1599" s="90" t="s">
        <v>513</v>
      </c>
      <c r="B1599" s="74" t="s">
        <v>964</v>
      </c>
      <c r="C1599" s="81">
        <v>162</v>
      </c>
    </row>
    <row r="1600" spans="1:3" x14ac:dyDescent="0.2">
      <c r="A1600" s="90" t="s">
        <v>513</v>
      </c>
      <c r="B1600" s="74" t="s">
        <v>964</v>
      </c>
      <c r="C1600" s="81">
        <v>162</v>
      </c>
    </row>
    <row r="1601" spans="1:3" x14ac:dyDescent="0.2">
      <c r="A1601" s="90" t="s">
        <v>513</v>
      </c>
      <c r="B1601" s="74" t="s">
        <v>965</v>
      </c>
      <c r="C1601" s="81">
        <v>211.5</v>
      </c>
    </row>
    <row r="1602" spans="1:3" x14ac:dyDescent="0.2">
      <c r="A1602" s="90" t="s">
        <v>513</v>
      </c>
      <c r="B1602" s="74" t="s">
        <v>965</v>
      </c>
      <c r="C1602" s="81">
        <v>211.5</v>
      </c>
    </row>
    <row r="1603" spans="1:3" x14ac:dyDescent="0.2">
      <c r="A1603" s="90" t="s">
        <v>513</v>
      </c>
      <c r="B1603" s="74" t="s">
        <v>965</v>
      </c>
      <c r="C1603" s="81">
        <v>211.5</v>
      </c>
    </row>
    <row r="1604" spans="1:3" x14ac:dyDescent="0.2">
      <c r="A1604" s="90" t="s">
        <v>513</v>
      </c>
      <c r="B1604" s="74" t="s">
        <v>966</v>
      </c>
      <c r="C1604" s="81">
        <v>274.5</v>
      </c>
    </row>
    <row r="1605" spans="1:3" x14ac:dyDescent="0.2">
      <c r="A1605" s="90" t="s">
        <v>513</v>
      </c>
      <c r="B1605" s="74" t="s">
        <v>966</v>
      </c>
      <c r="C1605" s="81">
        <v>274.5</v>
      </c>
    </row>
    <row r="1606" spans="1:3" x14ac:dyDescent="0.2">
      <c r="A1606" s="90" t="s">
        <v>513</v>
      </c>
      <c r="B1606" s="74" t="s">
        <v>966</v>
      </c>
      <c r="C1606" s="81">
        <v>274.5</v>
      </c>
    </row>
    <row r="1607" spans="1:3" x14ac:dyDescent="0.2">
      <c r="A1607" s="90" t="s">
        <v>513</v>
      </c>
      <c r="B1607" s="74" t="s">
        <v>967</v>
      </c>
      <c r="C1607" s="81">
        <v>216</v>
      </c>
    </row>
    <row r="1608" spans="1:3" x14ac:dyDescent="0.2">
      <c r="A1608" s="90" t="s">
        <v>513</v>
      </c>
      <c r="B1608" s="74" t="s">
        <v>967</v>
      </c>
      <c r="C1608" s="81">
        <v>216</v>
      </c>
    </row>
    <row r="1609" spans="1:3" x14ac:dyDescent="0.2">
      <c r="A1609" s="90" t="s">
        <v>513</v>
      </c>
      <c r="B1609" s="74" t="s">
        <v>967</v>
      </c>
      <c r="C1609" s="81">
        <v>216</v>
      </c>
    </row>
    <row r="1610" spans="1:3" x14ac:dyDescent="0.2">
      <c r="A1610" s="90" t="s">
        <v>513</v>
      </c>
      <c r="B1610" s="74" t="s">
        <v>968</v>
      </c>
      <c r="C1610" s="81">
        <v>157.5</v>
      </c>
    </row>
    <row r="1611" spans="1:3" x14ac:dyDescent="0.2">
      <c r="A1611" s="90" t="s">
        <v>513</v>
      </c>
      <c r="B1611" s="74" t="s">
        <v>968</v>
      </c>
      <c r="C1611" s="81">
        <v>157.5</v>
      </c>
    </row>
    <row r="1612" spans="1:3" x14ac:dyDescent="0.2">
      <c r="A1612" s="90" t="s">
        <v>513</v>
      </c>
      <c r="B1612" s="74" t="s">
        <v>968</v>
      </c>
      <c r="C1612" s="81">
        <v>157.5</v>
      </c>
    </row>
    <row r="1613" spans="1:3" x14ac:dyDescent="0.2">
      <c r="A1613" s="90" t="s">
        <v>513</v>
      </c>
      <c r="B1613" s="74" t="s">
        <v>969</v>
      </c>
      <c r="C1613" s="81">
        <v>103.5</v>
      </c>
    </row>
    <row r="1614" spans="1:3" x14ac:dyDescent="0.2">
      <c r="A1614" s="90" t="s">
        <v>513</v>
      </c>
      <c r="B1614" s="74" t="s">
        <v>969</v>
      </c>
      <c r="C1614" s="81">
        <v>103.5</v>
      </c>
    </row>
    <row r="1615" spans="1:3" x14ac:dyDescent="0.2">
      <c r="A1615" s="90" t="s">
        <v>513</v>
      </c>
      <c r="B1615" s="74" t="s">
        <v>969</v>
      </c>
      <c r="C1615" s="81">
        <v>103.5</v>
      </c>
    </row>
    <row r="1616" spans="1:3" x14ac:dyDescent="0.2">
      <c r="A1616" s="90" t="s">
        <v>513</v>
      </c>
      <c r="B1616" s="74" t="s">
        <v>970</v>
      </c>
      <c r="C1616" s="81">
        <v>202.5</v>
      </c>
    </row>
    <row r="1617" spans="1:3" x14ac:dyDescent="0.2">
      <c r="A1617" s="90" t="s">
        <v>513</v>
      </c>
      <c r="B1617" s="74" t="s">
        <v>970</v>
      </c>
      <c r="C1617" s="81">
        <v>202.5</v>
      </c>
    </row>
    <row r="1618" spans="1:3" x14ac:dyDescent="0.2">
      <c r="A1618" s="90" t="s">
        <v>513</v>
      </c>
      <c r="B1618" s="74" t="s">
        <v>951</v>
      </c>
      <c r="C1618" s="81">
        <v>130.5</v>
      </c>
    </row>
    <row r="1619" spans="1:3" x14ac:dyDescent="0.2">
      <c r="A1619" s="90" t="s">
        <v>513</v>
      </c>
      <c r="B1619" s="74" t="s">
        <v>951</v>
      </c>
      <c r="C1619" s="81">
        <v>130.5</v>
      </c>
    </row>
    <row r="1620" spans="1:3" x14ac:dyDescent="0.2">
      <c r="A1620" s="90" t="s">
        <v>513</v>
      </c>
      <c r="B1620" s="74" t="s">
        <v>971</v>
      </c>
      <c r="C1620" s="81">
        <v>270</v>
      </c>
    </row>
    <row r="1621" spans="1:3" x14ac:dyDescent="0.2">
      <c r="A1621" s="90" t="s">
        <v>513</v>
      </c>
      <c r="B1621" s="74" t="s">
        <v>971</v>
      </c>
      <c r="C1621" s="81">
        <v>270</v>
      </c>
    </row>
    <row r="1622" spans="1:3" x14ac:dyDescent="0.2">
      <c r="A1622" s="90" t="s">
        <v>513</v>
      </c>
      <c r="B1622" s="74" t="s">
        <v>971</v>
      </c>
      <c r="C1622" s="81">
        <v>270</v>
      </c>
    </row>
    <row r="1623" spans="1:3" x14ac:dyDescent="0.2">
      <c r="A1623" s="90" t="s">
        <v>513</v>
      </c>
      <c r="B1623" s="74" t="s">
        <v>972</v>
      </c>
      <c r="C1623" s="81">
        <v>265.5</v>
      </c>
    </row>
    <row r="1624" spans="1:3" x14ac:dyDescent="0.2">
      <c r="A1624" s="90" t="s">
        <v>513</v>
      </c>
      <c r="B1624" s="74" t="s">
        <v>972</v>
      </c>
      <c r="C1624" s="81">
        <v>265.5</v>
      </c>
    </row>
    <row r="1625" spans="1:3" x14ac:dyDescent="0.2">
      <c r="A1625" s="90" t="s">
        <v>513</v>
      </c>
      <c r="B1625" s="74" t="s">
        <v>972</v>
      </c>
      <c r="C1625" s="81">
        <v>265.5</v>
      </c>
    </row>
    <row r="1626" spans="1:3" x14ac:dyDescent="0.2">
      <c r="A1626" s="90" t="s">
        <v>513</v>
      </c>
      <c r="B1626" s="74" t="s">
        <v>973</v>
      </c>
      <c r="C1626" s="81">
        <v>252</v>
      </c>
    </row>
    <row r="1627" spans="1:3" x14ac:dyDescent="0.2">
      <c r="A1627" s="90" t="s">
        <v>513</v>
      </c>
      <c r="B1627" s="74" t="s">
        <v>973</v>
      </c>
      <c r="C1627" s="81">
        <v>252</v>
      </c>
    </row>
    <row r="1628" spans="1:3" x14ac:dyDescent="0.2">
      <c r="A1628" s="90" t="s">
        <v>513</v>
      </c>
      <c r="B1628" s="74" t="s">
        <v>973</v>
      </c>
      <c r="C1628" s="81">
        <v>252</v>
      </c>
    </row>
    <row r="1629" spans="1:3" x14ac:dyDescent="0.2">
      <c r="A1629" s="90" t="s">
        <v>513</v>
      </c>
      <c r="B1629" s="74" t="s">
        <v>974</v>
      </c>
      <c r="C1629" s="81">
        <v>288</v>
      </c>
    </row>
    <row r="1630" spans="1:3" x14ac:dyDescent="0.2">
      <c r="A1630" s="90" t="s">
        <v>513</v>
      </c>
      <c r="B1630" s="74" t="s">
        <v>975</v>
      </c>
      <c r="C1630" s="81">
        <v>81</v>
      </c>
    </row>
    <row r="1631" spans="1:3" x14ac:dyDescent="0.2">
      <c r="A1631" s="90" t="s">
        <v>513</v>
      </c>
      <c r="B1631" s="74" t="s">
        <v>975</v>
      </c>
      <c r="C1631" s="81">
        <v>81</v>
      </c>
    </row>
    <row r="1632" spans="1:3" x14ac:dyDescent="0.2">
      <c r="A1632" s="90" t="s">
        <v>513</v>
      </c>
      <c r="B1632" s="74" t="s">
        <v>976</v>
      </c>
      <c r="C1632" s="81">
        <v>188.1</v>
      </c>
    </row>
    <row r="1633" spans="1:3" x14ac:dyDescent="0.2">
      <c r="A1633" s="90" t="s">
        <v>513</v>
      </c>
      <c r="B1633" s="74" t="s">
        <v>976</v>
      </c>
      <c r="C1633" s="81">
        <v>188.1</v>
      </c>
    </row>
    <row r="1634" spans="1:3" x14ac:dyDescent="0.2">
      <c r="A1634" s="90" t="s">
        <v>513</v>
      </c>
      <c r="B1634" s="74" t="s">
        <v>976</v>
      </c>
      <c r="C1634" s="81">
        <v>188.1</v>
      </c>
    </row>
    <row r="1635" spans="1:3" x14ac:dyDescent="0.2">
      <c r="A1635" s="90" t="s">
        <v>513</v>
      </c>
      <c r="B1635" s="74" t="s">
        <v>977</v>
      </c>
      <c r="C1635" s="81">
        <v>187.2</v>
      </c>
    </row>
    <row r="1636" spans="1:3" x14ac:dyDescent="0.2">
      <c r="A1636" s="90" t="s">
        <v>513</v>
      </c>
      <c r="B1636" s="74" t="s">
        <v>977</v>
      </c>
      <c r="C1636" s="81">
        <v>187.2</v>
      </c>
    </row>
    <row r="1637" spans="1:3" x14ac:dyDescent="0.2">
      <c r="A1637" s="90" t="s">
        <v>513</v>
      </c>
      <c r="B1637" s="74" t="s">
        <v>977</v>
      </c>
      <c r="C1637" s="81">
        <v>187.2</v>
      </c>
    </row>
    <row r="1638" spans="1:3" x14ac:dyDescent="0.2">
      <c r="A1638" s="90" t="s">
        <v>513</v>
      </c>
      <c r="B1638" s="74" t="s">
        <v>978</v>
      </c>
      <c r="C1638" s="81">
        <v>152.1</v>
      </c>
    </row>
    <row r="1639" spans="1:3" x14ac:dyDescent="0.2">
      <c r="A1639" s="90" t="s">
        <v>513</v>
      </c>
      <c r="B1639" s="74" t="s">
        <v>978</v>
      </c>
      <c r="C1639" s="81">
        <v>152.1</v>
      </c>
    </row>
    <row r="1640" spans="1:3" x14ac:dyDescent="0.2">
      <c r="A1640" s="90" t="s">
        <v>513</v>
      </c>
      <c r="B1640" s="74" t="s">
        <v>978</v>
      </c>
      <c r="C1640" s="81">
        <v>152.1</v>
      </c>
    </row>
    <row r="1641" spans="1:3" x14ac:dyDescent="0.2">
      <c r="A1641" s="90" t="s">
        <v>513</v>
      </c>
      <c r="B1641" s="74" t="s">
        <v>979</v>
      </c>
      <c r="C1641" s="81">
        <v>250.2</v>
      </c>
    </row>
    <row r="1642" spans="1:3" x14ac:dyDescent="0.2">
      <c r="A1642" s="90" t="s">
        <v>513</v>
      </c>
      <c r="B1642" s="74" t="s">
        <v>979</v>
      </c>
      <c r="C1642" s="81">
        <v>250.2</v>
      </c>
    </row>
    <row r="1643" spans="1:3" x14ac:dyDescent="0.2">
      <c r="A1643" s="90" t="s">
        <v>513</v>
      </c>
      <c r="B1643" s="74" t="s">
        <v>979</v>
      </c>
      <c r="C1643" s="81">
        <v>250.2</v>
      </c>
    </row>
    <row r="1644" spans="1:3" x14ac:dyDescent="0.2">
      <c r="A1644" s="90" t="s">
        <v>513</v>
      </c>
      <c r="B1644" s="74" t="s">
        <v>980</v>
      </c>
      <c r="C1644" s="81">
        <v>169.2</v>
      </c>
    </row>
    <row r="1645" spans="1:3" x14ac:dyDescent="0.2">
      <c r="A1645" s="90" t="s">
        <v>513</v>
      </c>
      <c r="B1645" s="74" t="s">
        <v>980</v>
      </c>
      <c r="C1645" s="81">
        <v>169.2</v>
      </c>
    </row>
    <row r="1646" spans="1:3" x14ac:dyDescent="0.2">
      <c r="A1646" s="90" t="s">
        <v>513</v>
      </c>
      <c r="B1646" s="74" t="s">
        <v>981</v>
      </c>
      <c r="C1646" s="81">
        <v>1210.5</v>
      </c>
    </row>
    <row r="1647" spans="1:3" x14ac:dyDescent="0.2">
      <c r="A1647" s="90" t="s">
        <v>513</v>
      </c>
      <c r="B1647" s="74" t="s">
        <v>981</v>
      </c>
      <c r="C1647" s="81">
        <v>1210.5</v>
      </c>
    </row>
    <row r="1648" spans="1:3" x14ac:dyDescent="0.2">
      <c r="A1648" s="90" t="s">
        <v>513</v>
      </c>
      <c r="B1648" s="74" t="s">
        <v>981</v>
      </c>
      <c r="C1648" s="81">
        <v>1210.5</v>
      </c>
    </row>
    <row r="1649" spans="1:3" x14ac:dyDescent="0.2">
      <c r="A1649" s="90" t="s">
        <v>513</v>
      </c>
      <c r="B1649" s="74" t="s">
        <v>982</v>
      </c>
      <c r="C1649" s="81">
        <v>359.1</v>
      </c>
    </row>
    <row r="1650" spans="1:3" x14ac:dyDescent="0.2">
      <c r="A1650" s="90" t="s">
        <v>513</v>
      </c>
      <c r="B1650" s="74" t="s">
        <v>982</v>
      </c>
      <c r="C1650" s="81">
        <v>359.1</v>
      </c>
    </row>
    <row r="1651" spans="1:3" x14ac:dyDescent="0.2">
      <c r="A1651" s="90" t="s">
        <v>513</v>
      </c>
      <c r="B1651" s="74" t="s">
        <v>983</v>
      </c>
      <c r="C1651" s="81">
        <v>144</v>
      </c>
    </row>
    <row r="1652" spans="1:3" x14ac:dyDescent="0.2">
      <c r="A1652" s="90" t="s">
        <v>513</v>
      </c>
      <c r="B1652" s="74" t="s">
        <v>983</v>
      </c>
      <c r="C1652" s="81">
        <v>144</v>
      </c>
    </row>
    <row r="1653" spans="1:3" x14ac:dyDescent="0.2">
      <c r="A1653" s="90" t="s">
        <v>513</v>
      </c>
      <c r="B1653" s="74" t="s">
        <v>983</v>
      </c>
      <c r="C1653" s="81">
        <v>188.1</v>
      </c>
    </row>
    <row r="1654" spans="1:3" x14ac:dyDescent="0.2">
      <c r="A1654" s="90" t="s">
        <v>513</v>
      </c>
      <c r="B1654" s="74" t="s">
        <v>983</v>
      </c>
      <c r="C1654" s="81">
        <v>188.1</v>
      </c>
    </row>
    <row r="1655" spans="1:3" x14ac:dyDescent="0.2">
      <c r="A1655" s="90" t="s">
        <v>513</v>
      </c>
      <c r="B1655" s="74" t="s">
        <v>983</v>
      </c>
      <c r="C1655" s="81">
        <v>188.1</v>
      </c>
    </row>
    <row r="1656" spans="1:3" x14ac:dyDescent="0.2">
      <c r="A1656" s="90" t="s">
        <v>513</v>
      </c>
      <c r="B1656" s="74" t="s">
        <v>984</v>
      </c>
      <c r="C1656" s="81">
        <v>260.10000000000002</v>
      </c>
    </row>
    <row r="1657" spans="1:3" x14ac:dyDescent="0.2">
      <c r="A1657" s="90" t="s">
        <v>513</v>
      </c>
      <c r="B1657" s="74" t="s">
        <v>984</v>
      </c>
      <c r="C1657" s="81">
        <v>260.10000000000002</v>
      </c>
    </row>
    <row r="1658" spans="1:3" x14ac:dyDescent="0.2">
      <c r="A1658" s="90" t="s">
        <v>513</v>
      </c>
      <c r="B1658" s="74" t="s">
        <v>984</v>
      </c>
      <c r="C1658" s="81">
        <v>260.10000000000002</v>
      </c>
    </row>
    <row r="1659" spans="1:3" x14ac:dyDescent="0.2">
      <c r="A1659" s="90" t="s">
        <v>513</v>
      </c>
      <c r="B1659" s="74" t="s">
        <v>985</v>
      </c>
      <c r="C1659" s="81">
        <v>242.1</v>
      </c>
    </row>
    <row r="1660" spans="1:3" x14ac:dyDescent="0.2">
      <c r="A1660" s="90" t="s">
        <v>513</v>
      </c>
      <c r="B1660" s="74" t="s">
        <v>985</v>
      </c>
      <c r="C1660" s="81">
        <v>242.1</v>
      </c>
    </row>
    <row r="1661" spans="1:3" x14ac:dyDescent="0.2">
      <c r="A1661" s="90" t="s">
        <v>513</v>
      </c>
      <c r="B1661" s="74" t="s">
        <v>985</v>
      </c>
      <c r="C1661" s="81">
        <v>242.1</v>
      </c>
    </row>
    <row r="1662" spans="1:3" x14ac:dyDescent="0.2">
      <c r="A1662" s="90" t="s">
        <v>513</v>
      </c>
      <c r="B1662" s="74" t="s">
        <v>986</v>
      </c>
      <c r="C1662" s="81">
        <v>265.5</v>
      </c>
    </row>
    <row r="1663" spans="1:3" x14ac:dyDescent="0.2">
      <c r="A1663" s="90" t="s">
        <v>513</v>
      </c>
      <c r="B1663" s="74" t="s">
        <v>986</v>
      </c>
      <c r="C1663" s="81">
        <v>265.5</v>
      </c>
    </row>
    <row r="1664" spans="1:3" x14ac:dyDescent="0.2">
      <c r="A1664" s="90" t="s">
        <v>513</v>
      </c>
      <c r="B1664" s="74" t="s">
        <v>986</v>
      </c>
      <c r="C1664" s="81">
        <v>265.5</v>
      </c>
    </row>
    <row r="1665" spans="1:3" x14ac:dyDescent="0.2">
      <c r="A1665" s="90" t="s">
        <v>513</v>
      </c>
      <c r="B1665" s="74" t="s">
        <v>987</v>
      </c>
      <c r="C1665" s="81">
        <v>216</v>
      </c>
    </row>
    <row r="1666" spans="1:3" x14ac:dyDescent="0.2">
      <c r="A1666" s="90" t="s">
        <v>513</v>
      </c>
      <c r="B1666" s="74" t="s">
        <v>987</v>
      </c>
      <c r="C1666" s="81">
        <v>216</v>
      </c>
    </row>
    <row r="1667" spans="1:3" x14ac:dyDescent="0.2">
      <c r="A1667" s="90" t="s">
        <v>513</v>
      </c>
      <c r="B1667" s="74" t="s">
        <v>987</v>
      </c>
      <c r="C1667" s="81">
        <v>216</v>
      </c>
    </row>
    <row r="1668" spans="1:3" x14ac:dyDescent="0.2">
      <c r="A1668" s="90" t="s">
        <v>513</v>
      </c>
      <c r="B1668" s="74" t="s">
        <v>988</v>
      </c>
      <c r="C1668" s="81">
        <v>296.10000000000002</v>
      </c>
    </row>
    <row r="1669" spans="1:3" x14ac:dyDescent="0.2">
      <c r="A1669" s="90" t="s">
        <v>513</v>
      </c>
      <c r="B1669" s="74" t="s">
        <v>988</v>
      </c>
      <c r="C1669" s="81">
        <v>296.10000000000002</v>
      </c>
    </row>
    <row r="1670" spans="1:3" x14ac:dyDescent="0.2">
      <c r="A1670" s="90" t="s">
        <v>513</v>
      </c>
      <c r="B1670" s="74" t="s">
        <v>988</v>
      </c>
      <c r="C1670" s="81">
        <v>296.10000000000002</v>
      </c>
    </row>
    <row r="1671" spans="1:3" x14ac:dyDescent="0.2">
      <c r="A1671" s="90" t="s">
        <v>513</v>
      </c>
      <c r="B1671" s="74" t="s">
        <v>989</v>
      </c>
      <c r="C1671" s="81">
        <v>108</v>
      </c>
    </row>
    <row r="1672" spans="1:3" x14ac:dyDescent="0.2">
      <c r="A1672" s="90" t="s">
        <v>513</v>
      </c>
      <c r="B1672" s="74" t="s">
        <v>989</v>
      </c>
      <c r="C1672" s="81">
        <v>108</v>
      </c>
    </row>
    <row r="1673" spans="1:3" x14ac:dyDescent="0.2">
      <c r="A1673" s="90" t="s">
        <v>513</v>
      </c>
      <c r="B1673" s="74" t="s">
        <v>990</v>
      </c>
      <c r="C1673" s="81">
        <v>180</v>
      </c>
    </row>
    <row r="1674" spans="1:3" x14ac:dyDescent="0.2">
      <c r="A1674" s="90" t="s">
        <v>513</v>
      </c>
      <c r="B1674" s="74" t="s">
        <v>990</v>
      </c>
      <c r="C1674" s="81">
        <v>180</v>
      </c>
    </row>
    <row r="1675" spans="1:3" x14ac:dyDescent="0.2">
      <c r="A1675" s="90" t="s">
        <v>513</v>
      </c>
      <c r="B1675" s="74" t="s">
        <v>990</v>
      </c>
      <c r="C1675" s="81">
        <v>180</v>
      </c>
    </row>
    <row r="1676" spans="1:3" x14ac:dyDescent="0.2">
      <c r="A1676" s="90" t="s">
        <v>513</v>
      </c>
      <c r="B1676" s="74" t="s">
        <v>987</v>
      </c>
      <c r="C1676" s="81">
        <v>180</v>
      </c>
    </row>
    <row r="1677" spans="1:3" x14ac:dyDescent="0.2">
      <c r="A1677" s="90" t="s">
        <v>513</v>
      </c>
      <c r="B1677" s="74" t="s">
        <v>991</v>
      </c>
      <c r="C1677" s="81">
        <v>468</v>
      </c>
    </row>
    <row r="1678" spans="1:3" x14ac:dyDescent="0.2">
      <c r="A1678" s="90" t="s">
        <v>513</v>
      </c>
      <c r="B1678" s="74" t="s">
        <v>991</v>
      </c>
      <c r="C1678" s="81">
        <v>468</v>
      </c>
    </row>
    <row r="1679" spans="1:3" x14ac:dyDescent="0.2">
      <c r="A1679" s="90" t="s">
        <v>513</v>
      </c>
      <c r="B1679" s="74" t="s">
        <v>991</v>
      </c>
      <c r="C1679" s="81">
        <v>468</v>
      </c>
    </row>
    <row r="1680" spans="1:3" x14ac:dyDescent="0.2">
      <c r="A1680" s="90" t="s">
        <v>513</v>
      </c>
      <c r="B1680" s="74" t="s">
        <v>992</v>
      </c>
      <c r="C1680" s="81">
        <v>175.5</v>
      </c>
    </row>
    <row r="1681" spans="1:3" x14ac:dyDescent="0.2">
      <c r="A1681" s="90" t="s">
        <v>513</v>
      </c>
      <c r="B1681" s="74" t="s">
        <v>992</v>
      </c>
      <c r="C1681" s="81">
        <v>175.5</v>
      </c>
    </row>
    <row r="1682" spans="1:3" x14ac:dyDescent="0.2">
      <c r="A1682" s="90" t="s">
        <v>513</v>
      </c>
      <c r="B1682" s="74" t="s">
        <v>993</v>
      </c>
      <c r="C1682" s="81">
        <v>252</v>
      </c>
    </row>
    <row r="1683" spans="1:3" x14ac:dyDescent="0.2">
      <c r="A1683" s="90" t="s">
        <v>513</v>
      </c>
      <c r="B1683" s="74" t="s">
        <v>993</v>
      </c>
      <c r="C1683" s="81">
        <v>252</v>
      </c>
    </row>
    <row r="1684" spans="1:3" x14ac:dyDescent="0.2">
      <c r="A1684" s="90" t="s">
        <v>513</v>
      </c>
      <c r="B1684" s="74" t="s">
        <v>994</v>
      </c>
      <c r="C1684" s="81">
        <v>726.3</v>
      </c>
    </row>
    <row r="1685" spans="1:3" x14ac:dyDescent="0.2">
      <c r="A1685" s="90" t="s">
        <v>513</v>
      </c>
      <c r="B1685" s="74" t="s">
        <v>994</v>
      </c>
      <c r="C1685" s="81">
        <v>726.3</v>
      </c>
    </row>
    <row r="1686" spans="1:3" x14ac:dyDescent="0.2">
      <c r="A1686" s="90" t="s">
        <v>513</v>
      </c>
      <c r="B1686" s="74" t="s">
        <v>995</v>
      </c>
      <c r="C1686" s="81">
        <v>296.10000000000002</v>
      </c>
    </row>
    <row r="1687" spans="1:3" x14ac:dyDescent="0.2">
      <c r="A1687" s="90" t="s">
        <v>513</v>
      </c>
      <c r="B1687" s="74" t="s">
        <v>995</v>
      </c>
      <c r="C1687" s="81">
        <v>296.10000000000002</v>
      </c>
    </row>
    <row r="1688" spans="1:3" x14ac:dyDescent="0.2">
      <c r="A1688" s="90" t="s">
        <v>513</v>
      </c>
      <c r="B1688" s="74" t="s">
        <v>995</v>
      </c>
      <c r="C1688" s="81">
        <v>296.10000000000002</v>
      </c>
    </row>
    <row r="1689" spans="1:3" x14ac:dyDescent="0.2">
      <c r="A1689" s="90" t="s">
        <v>513</v>
      </c>
      <c r="B1689" s="74" t="s">
        <v>996</v>
      </c>
      <c r="C1689" s="81">
        <v>27</v>
      </c>
    </row>
    <row r="1690" spans="1:3" x14ac:dyDescent="0.2">
      <c r="A1690" s="90" t="s">
        <v>513</v>
      </c>
      <c r="B1690" s="74" t="s">
        <v>996</v>
      </c>
      <c r="C1690" s="81">
        <v>27</v>
      </c>
    </row>
    <row r="1691" spans="1:3" x14ac:dyDescent="0.2">
      <c r="A1691" s="90" t="s">
        <v>513</v>
      </c>
      <c r="B1691" s="74" t="s">
        <v>997</v>
      </c>
      <c r="C1691" s="81">
        <v>279</v>
      </c>
    </row>
    <row r="1692" spans="1:3" x14ac:dyDescent="0.2">
      <c r="A1692" s="90" t="s">
        <v>513</v>
      </c>
      <c r="B1692" s="74" t="s">
        <v>997</v>
      </c>
      <c r="C1692" s="81">
        <v>279</v>
      </c>
    </row>
    <row r="1693" spans="1:3" x14ac:dyDescent="0.2">
      <c r="A1693" s="90" t="s">
        <v>513</v>
      </c>
      <c r="B1693" s="74" t="s">
        <v>998</v>
      </c>
      <c r="C1693" s="81">
        <v>571.5</v>
      </c>
    </row>
    <row r="1694" spans="1:3" x14ac:dyDescent="0.2">
      <c r="A1694" s="90" t="s">
        <v>513</v>
      </c>
      <c r="B1694" s="74" t="s">
        <v>999</v>
      </c>
      <c r="C1694" s="81">
        <v>216</v>
      </c>
    </row>
    <row r="1695" spans="1:3" x14ac:dyDescent="0.2">
      <c r="A1695" s="90" t="s">
        <v>513</v>
      </c>
      <c r="B1695" s="74" t="s">
        <v>999</v>
      </c>
      <c r="C1695" s="81">
        <v>216</v>
      </c>
    </row>
    <row r="1696" spans="1:3" x14ac:dyDescent="0.2">
      <c r="A1696" s="90" t="s">
        <v>513</v>
      </c>
      <c r="B1696" s="74" t="s">
        <v>1000</v>
      </c>
      <c r="C1696" s="81">
        <v>232.2</v>
      </c>
    </row>
    <row r="1697" spans="1:3" x14ac:dyDescent="0.2">
      <c r="A1697" s="90" t="s">
        <v>513</v>
      </c>
      <c r="B1697" s="74" t="s">
        <v>1000</v>
      </c>
      <c r="C1697" s="81">
        <v>232.2</v>
      </c>
    </row>
    <row r="1698" spans="1:3" x14ac:dyDescent="0.2">
      <c r="A1698" s="90" t="s">
        <v>513</v>
      </c>
      <c r="B1698" s="74" t="s">
        <v>1000</v>
      </c>
      <c r="C1698" s="81">
        <v>232.2</v>
      </c>
    </row>
    <row r="1699" spans="1:3" x14ac:dyDescent="0.2">
      <c r="A1699" s="90" t="s">
        <v>513</v>
      </c>
      <c r="B1699" s="74" t="s">
        <v>1001</v>
      </c>
      <c r="C1699" s="81">
        <v>153</v>
      </c>
    </row>
    <row r="1700" spans="1:3" x14ac:dyDescent="0.2">
      <c r="A1700" s="90" t="s">
        <v>513</v>
      </c>
      <c r="B1700" s="74" t="s">
        <v>1001</v>
      </c>
      <c r="C1700" s="81">
        <v>153</v>
      </c>
    </row>
    <row r="1701" spans="1:3" x14ac:dyDescent="0.2">
      <c r="A1701" s="90" t="s">
        <v>513</v>
      </c>
      <c r="B1701" s="74" t="s">
        <v>1002</v>
      </c>
      <c r="C1701" s="81">
        <v>441</v>
      </c>
    </row>
    <row r="1702" spans="1:3" x14ac:dyDescent="0.2">
      <c r="A1702" s="90" t="s">
        <v>513</v>
      </c>
      <c r="B1702" s="74" t="s">
        <v>1002</v>
      </c>
      <c r="C1702" s="81">
        <v>441</v>
      </c>
    </row>
    <row r="1703" spans="1:3" x14ac:dyDescent="0.2">
      <c r="A1703" s="90" t="s">
        <v>513</v>
      </c>
      <c r="B1703" s="74" t="s">
        <v>1002</v>
      </c>
      <c r="C1703" s="81">
        <v>441</v>
      </c>
    </row>
    <row r="1704" spans="1:3" x14ac:dyDescent="0.2">
      <c r="A1704" s="90" t="s">
        <v>513</v>
      </c>
      <c r="B1704" s="74" t="s">
        <v>1003</v>
      </c>
      <c r="C1704" s="81">
        <v>99</v>
      </c>
    </row>
    <row r="1705" spans="1:3" x14ac:dyDescent="0.2">
      <c r="A1705" s="90" t="s">
        <v>513</v>
      </c>
      <c r="B1705" s="74" t="s">
        <v>1003</v>
      </c>
      <c r="C1705" s="81">
        <v>99</v>
      </c>
    </row>
    <row r="1706" spans="1:3" x14ac:dyDescent="0.2">
      <c r="A1706" s="90" t="s">
        <v>513</v>
      </c>
      <c r="B1706" s="74" t="s">
        <v>1003</v>
      </c>
      <c r="C1706" s="81">
        <v>99</v>
      </c>
    </row>
    <row r="1707" spans="1:3" x14ac:dyDescent="0.2">
      <c r="A1707" s="90" t="s">
        <v>513</v>
      </c>
      <c r="B1707" s="74" t="s">
        <v>1004</v>
      </c>
      <c r="C1707" s="81">
        <v>67.5</v>
      </c>
    </row>
    <row r="1708" spans="1:3" x14ac:dyDescent="0.2">
      <c r="A1708" s="90" t="s">
        <v>513</v>
      </c>
      <c r="B1708" s="74" t="s">
        <v>1004</v>
      </c>
      <c r="C1708" s="81">
        <v>67.5</v>
      </c>
    </row>
    <row r="1709" spans="1:3" x14ac:dyDescent="0.2">
      <c r="A1709" s="90" t="s">
        <v>513</v>
      </c>
      <c r="B1709" s="74" t="s">
        <v>1005</v>
      </c>
      <c r="C1709" s="81">
        <v>341.1</v>
      </c>
    </row>
    <row r="1710" spans="1:3" x14ac:dyDescent="0.2">
      <c r="A1710" s="90" t="s">
        <v>513</v>
      </c>
      <c r="B1710" s="74" t="s">
        <v>1005</v>
      </c>
      <c r="C1710" s="81">
        <v>341.1</v>
      </c>
    </row>
    <row r="1711" spans="1:3" x14ac:dyDescent="0.2">
      <c r="A1711" s="90" t="s">
        <v>513</v>
      </c>
      <c r="B1711" s="74" t="s">
        <v>1005</v>
      </c>
      <c r="C1711" s="81">
        <v>341.1</v>
      </c>
    </row>
    <row r="1712" spans="1:3" x14ac:dyDescent="0.2">
      <c r="A1712" s="90" t="s">
        <v>513</v>
      </c>
      <c r="B1712" s="74" t="s">
        <v>649</v>
      </c>
      <c r="C1712" s="81">
        <v>144</v>
      </c>
    </row>
    <row r="1713" spans="1:3" x14ac:dyDescent="0.2">
      <c r="A1713" s="90" t="s">
        <v>513</v>
      </c>
      <c r="B1713" s="74" t="s">
        <v>649</v>
      </c>
      <c r="C1713" s="81">
        <v>144</v>
      </c>
    </row>
    <row r="1714" spans="1:3" x14ac:dyDescent="0.2">
      <c r="A1714" s="90" t="s">
        <v>513</v>
      </c>
      <c r="B1714" s="74" t="s">
        <v>649</v>
      </c>
      <c r="C1714" s="81">
        <v>144</v>
      </c>
    </row>
    <row r="1715" spans="1:3" x14ac:dyDescent="0.2">
      <c r="A1715" s="90" t="s">
        <v>513</v>
      </c>
      <c r="B1715" s="74" t="s">
        <v>650</v>
      </c>
      <c r="C1715" s="81">
        <v>216</v>
      </c>
    </row>
    <row r="1716" spans="1:3" x14ac:dyDescent="0.2">
      <c r="A1716" s="90" t="s">
        <v>513</v>
      </c>
      <c r="B1716" s="74" t="s">
        <v>650</v>
      </c>
      <c r="C1716" s="81">
        <v>216</v>
      </c>
    </row>
    <row r="1717" spans="1:3" x14ac:dyDescent="0.2">
      <c r="A1717" s="90" t="s">
        <v>513</v>
      </c>
      <c r="B1717" s="74" t="s">
        <v>1006</v>
      </c>
      <c r="C1717" s="81">
        <v>188.1</v>
      </c>
    </row>
    <row r="1718" spans="1:3" x14ac:dyDescent="0.2">
      <c r="A1718" s="90" t="s">
        <v>513</v>
      </c>
      <c r="B1718" s="74" t="s">
        <v>1006</v>
      </c>
      <c r="C1718" s="81">
        <v>188.1</v>
      </c>
    </row>
    <row r="1719" spans="1:3" x14ac:dyDescent="0.2">
      <c r="A1719" s="90" t="s">
        <v>513</v>
      </c>
      <c r="B1719" s="74" t="s">
        <v>1006</v>
      </c>
      <c r="C1719" s="81">
        <v>188.1</v>
      </c>
    </row>
    <row r="1720" spans="1:3" x14ac:dyDescent="0.2">
      <c r="A1720" s="90" t="s">
        <v>513</v>
      </c>
      <c r="B1720" s="74" t="s">
        <v>1007</v>
      </c>
      <c r="C1720" s="81">
        <v>288</v>
      </c>
    </row>
    <row r="1721" spans="1:3" x14ac:dyDescent="0.2">
      <c r="A1721" s="90" t="s">
        <v>513</v>
      </c>
      <c r="B1721" s="74" t="s">
        <v>844</v>
      </c>
      <c r="C1721" s="81">
        <v>198</v>
      </c>
    </row>
    <row r="1722" spans="1:3" x14ac:dyDescent="0.2">
      <c r="A1722" s="90" t="s">
        <v>513</v>
      </c>
      <c r="B1722" s="74" t="s">
        <v>844</v>
      </c>
      <c r="C1722" s="81">
        <v>198</v>
      </c>
    </row>
    <row r="1723" spans="1:3" x14ac:dyDescent="0.2">
      <c r="A1723" s="90" t="s">
        <v>513</v>
      </c>
      <c r="B1723" s="74" t="s">
        <v>1008</v>
      </c>
      <c r="C1723" s="81">
        <v>900</v>
      </c>
    </row>
    <row r="1724" spans="1:3" x14ac:dyDescent="0.2">
      <c r="A1724" s="90" t="s">
        <v>513</v>
      </c>
      <c r="B1724" s="74" t="s">
        <v>1008</v>
      </c>
      <c r="C1724" s="81">
        <v>900</v>
      </c>
    </row>
    <row r="1725" spans="1:3" x14ac:dyDescent="0.2">
      <c r="A1725" s="90" t="s">
        <v>513</v>
      </c>
      <c r="B1725" s="74" t="s">
        <v>1008</v>
      </c>
      <c r="C1725" s="81">
        <v>900</v>
      </c>
    </row>
    <row r="1726" spans="1:3" x14ac:dyDescent="0.2">
      <c r="A1726" s="90" t="s">
        <v>513</v>
      </c>
      <c r="B1726" s="74" t="s">
        <v>596</v>
      </c>
      <c r="C1726" s="81">
        <v>126</v>
      </c>
    </row>
    <row r="1727" spans="1:3" x14ac:dyDescent="0.2">
      <c r="A1727" s="90" t="s">
        <v>513</v>
      </c>
      <c r="B1727" s="74" t="s">
        <v>591</v>
      </c>
      <c r="C1727" s="81">
        <v>61.2</v>
      </c>
    </row>
    <row r="1728" spans="1:3" x14ac:dyDescent="0.2">
      <c r="A1728" s="90" t="s">
        <v>513</v>
      </c>
      <c r="B1728" s="74" t="s">
        <v>591</v>
      </c>
      <c r="C1728" s="81">
        <v>61.2</v>
      </c>
    </row>
    <row r="1729" spans="1:3" x14ac:dyDescent="0.2">
      <c r="A1729" s="90" t="s">
        <v>513</v>
      </c>
      <c r="B1729" s="74" t="s">
        <v>1009</v>
      </c>
      <c r="C1729" s="81">
        <v>36</v>
      </c>
    </row>
    <row r="1730" spans="1:3" x14ac:dyDescent="0.2">
      <c r="A1730" s="90" t="s">
        <v>513</v>
      </c>
      <c r="B1730" s="74" t="s">
        <v>1009</v>
      </c>
      <c r="C1730" s="81">
        <v>36</v>
      </c>
    </row>
    <row r="1731" spans="1:3" x14ac:dyDescent="0.2">
      <c r="A1731" s="90" t="s">
        <v>513</v>
      </c>
      <c r="B1731" s="74" t="s">
        <v>1009</v>
      </c>
      <c r="C1731" s="81">
        <v>36</v>
      </c>
    </row>
    <row r="1732" spans="1:3" x14ac:dyDescent="0.2">
      <c r="A1732" s="90" t="s">
        <v>513</v>
      </c>
      <c r="B1732" s="74" t="s">
        <v>1010</v>
      </c>
      <c r="C1732" s="81">
        <v>270</v>
      </c>
    </row>
    <row r="1733" spans="1:3" x14ac:dyDescent="0.2">
      <c r="A1733" s="90" t="s">
        <v>513</v>
      </c>
      <c r="B1733" s="74" t="s">
        <v>1010</v>
      </c>
      <c r="C1733" s="81">
        <v>270</v>
      </c>
    </row>
    <row r="1734" spans="1:3" x14ac:dyDescent="0.2">
      <c r="A1734" s="90" t="s">
        <v>513</v>
      </c>
      <c r="B1734" s="74" t="s">
        <v>1011</v>
      </c>
      <c r="C1734" s="81">
        <v>351</v>
      </c>
    </row>
    <row r="1735" spans="1:3" x14ac:dyDescent="0.2">
      <c r="A1735" s="90" t="s">
        <v>513</v>
      </c>
      <c r="B1735" s="74" t="s">
        <v>1012</v>
      </c>
      <c r="C1735" s="81">
        <v>567</v>
      </c>
    </row>
    <row r="1736" spans="1:3" x14ac:dyDescent="0.2">
      <c r="A1736" s="90" t="s">
        <v>513</v>
      </c>
      <c r="B1736" s="74" t="s">
        <v>1012</v>
      </c>
      <c r="C1736" s="81">
        <v>567</v>
      </c>
    </row>
    <row r="1737" spans="1:3" x14ac:dyDescent="0.2">
      <c r="A1737" s="90" t="s">
        <v>513</v>
      </c>
      <c r="B1737" s="74" t="s">
        <v>1012</v>
      </c>
      <c r="C1737" s="81">
        <v>567</v>
      </c>
    </row>
    <row r="1738" spans="1:3" x14ac:dyDescent="0.2">
      <c r="A1738" s="90" t="s">
        <v>513</v>
      </c>
      <c r="B1738" s="74" t="s">
        <v>1013</v>
      </c>
      <c r="C1738" s="81">
        <v>450</v>
      </c>
    </row>
    <row r="1739" spans="1:3" x14ac:dyDescent="0.2">
      <c r="A1739" s="90" t="s">
        <v>513</v>
      </c>
      <c r="B1739" s="74" t="s">
        <v>1013</v>
      </c>
      <c r="C1739" s="81">
        <v>450</v>
      </c>
    </row>
    <row r="1740" spans="1:3" x14ac:dyDescent="0.2">
      <c r="A1740" s="90" t="s">
        <v>513</v>
      </c>
      <c r="B1740" s="74" t="s">
        <v>1013</v>
      </c>
      <c r="C1740" s="81">
        <v>450</v>
      </c>
    </row>
    <row r="1741" spans="1:3" x14ac:dyDescent="0.2">
      <c r="A1741" s="90" t="s">
        <v>513</v>
      </c>
      <c r="B1741" s="74" t="s">
        <v>1014</v>
      </c>
      <c r="C1741" s="81">
        <v>540</v>
      </c>
    </row>
    <row r="1742" spans="1:3" x14ac:dyDescent="0.2">
      <c r="A1742" s="90" t="s">
        <v>513</v>
      </c>
      <c r="B1742" s="74" t="s">
        <v>1014</v>
      </c>
      <c r="C1742" s="81">
        <v>540</v>
      </c>
    </row>
    <row r="1743" spans="1:3" x14ac:dyDescent="0.2">
      <c r="A1743" s="90" t="s">
        <v>513</v>
      </c>
      <c r="B1743" s="74" t="s">
        <v>1014</v>
      </c>
      <c r="C1743" s="81">
        <v>540</v>
      </c>
    </row>
    <row r="1744" spans="1:3" x14ac:dyDescent="0.2">
      <c r="A1744" s="90" t="s">
        <v>513</v>
      </c>
      <c r="B1744" s="74" t="s">
        <v>1015</v>
      </c>
      <c r="C1744" s="81">
        <v>1125</v>
      </c>
    </row>
    <row r="1745" spans="1:3" x14ac:dyDescent="0.2">
      <c r="A1745" s="90" t="s">
        <v>513</v>
      </c>
      <c r="B1745" s="74" t="s">
        <v>1015</v>
      </c>
      <c r="C1745" s="81">
        <v>1125</v>
      </c>
    </row>
    <row r="1746" spans="1:3" x14ac:dyDescent="0.2">
      <c r="A1746" s="90" t="s">
        <v>513</v>
      </c>
      <c r="B1746" s="74" t="s">
        <v>1015</v>
      </c>
      <c r="C1746" s="81">
        <v>1125</v>
      </c>
    </row>
    <row r="1747" spans="1:3" x14ac:dyDescent="0.2">
      <c r="A1747" s="90" t="s">
        <v>513</v>
      </c>
      <c r="B1747" s="74" t="s">
        <v>1016</v>
      </c>
      <c r="C1747" s="81">
        <v>1125</v>
      </c>
    </row>
    <row r="1748" spans="1:3" x14ac:dyDescent="0.2">
      <c r="A1748" s="90" t="s">
        <v>513</v>
      </c>
      <c r="B1748" s="74" t="s">
        <v>1016</v>
      </c>
      <c r="C1748" s="81">
        <v>1125</v>
      </c>
    </row>
    <row r="1749" spans="1:3" x14ac:dyDescent="0.2">
      <c r="A1749" s="90" t="s">
        <v>513</v>
      </c>
      <c r="B1749" s="74" t="s">
        <v>1017</v>
      </c>
      <c r="C1749" s="81">
        <v>99</v>
      </c>
    </row>
    <row r="1750" spans="1:3" x14ac:dyDescent="0.2">
      <c r="A1750" s="90" t="s">
        <v>513</v>
      </c>
      <c r="B1750" s="74" t="s">
        <v>1017</v>
      </c>
      <c r="C1750" s="81">
        <v>99</v>
      </c>
    </row>
    <row r="1751" spans="1:3" x14ac:dyDescent="0.2">
      <c r="A1751" s="90" t="s">
        <v>513</v>
      </c>
      <c r="B1751" s="74" t="s">
        <v>1018</v>
      </c>
      <c r="C1751" s="81">
        <v>315.89999999999998</v>
      </c>
    </row>
    <row r="1752" spans="1:3" x14ac:dyDescent="0.2">
      <c r="A1752" s="90" t="s">
        <v>513</v>
      </c>
      <c r="B1752" s="74" t="s">
        <v>1018</v>
      </c>
      <c r="C1752" s="81">
        <v>315.89999999999998</v>
      </c>
    </row>
    <row r="1753" spans="1:3" x14ac:dyDescent="0.2">
      <c r="A1753" s="90" t="s">
        <v>513</v>
      </c>
      <c r="B1753" s="74" t="s">
        <v>1018</v>
      </c>
      <c r="C1753" s="81">
        <v>315.89999999999998</v>
      </c>
    </row>
    <row r="1754" spans="1:3" x14ac:dyDescent="0.2">
      <c r="A1754" s="90" t="s">
        <v>513</v>
      </c>
      <c r="B1754" s="74" t="s">
        <v>1019</v>
      </c>
      <c r="C1754" s="81">
        <v>279</v>
      </c>
    </row>
    <row r="1755" spans="1:3" x14ac:dyDescent="0.2">
      <c r="A1755" s="90" t="s">
        <v>513</v>
      </c>
      <c r="B1755" s="74" t="s">
        <v>1019</v>
      </c>
      <c r="C1755" s="81">
        <v>279</v>
      </c>
    </row>
    <row r="1756" spans="1:3" x14ac:dyDescent="0.2">
      <c r="A1756" s="90" t="s">
        <v>513</v>
      </c>
      <c r="B1756" s="74" t="s">
        <v>1019</v>
      </c>
      <c r="C1756" s="81">
        <v>279</v>
      </c>
    </row>
    <row r="1757" spans="1:3" x14ac:dyDescent="0.2">
      <c r="A1757" s="90" t="s">
        <v>513</v>
      </c>
      <c r="B1757" s="74" t="s">
        <v>1020</v>
      </c>
      <c r="C1757" s="81">
        <v>115.2</v>
      </c>
    </row>
    <row r="1758" spans="1:3" x14ac:dyDescent="0.2">
      <c r="A1758" s="90" t="s">
        <v>513</v>
      </c>
      <c r="B1758" s="74" t="s">
        <v>1020</v>
      </c>
      <c r="C1758" s="81">
        <v>115.2</v>
      </c>
    </row>
    <row r="1759" spans="1:3" x14ac:dyDescent="0.2">
      <c r="A1759" s="90" t="s">
        <v>513</v>
      </c>
      <c r="B1759" s="74" t="s">
        <v>1021</v>
      </c>
      <c r="C1759" s="81">
        <v>207</v>
      </c>
    </row>
    <row r="1760" spans="1:3" x14ac:dyDescent="0.2">
      <c r="A1760" s="90" t="s">
        <v>513</v>
      </c>
      <c r="B1760" s="74" t="s">
        <v>1021</v>
      </c>
      <c r="C1760" s="81">
        <v>207</v>
      </c>
    </row>
    <row r="1761" spans="1:3" x14ac:dyDescent="0.2">
      <c r="A1761" s="90" t="s">
        <v>513</v>
      </c>
      <c r="B1761" s="74" t="s">
        <v>1022</v>
      </c>
      <c r="C1761" s="81">
        <v>108</v>
      </c>
    </row>
    <row r="1762" spans="1:3" x14ac:dyDescent="0.2">
      <c r="A1762" s="90" t="s">
        <v>513</v>
      </c>
      <c r="B1762" s="74" t="s">
        <v>1022</v>
      </c>
      <c r="C1762" s="81">
        <v>108</v>
      </c>
    </row>
    <row r="1763" spans="1:3" x14ac:dyDescent="0.2">
      <c r="A1763" s="90" t="s">
        <v>513</v>
      </c>
      <c r="B1763" s="74" t="s">
        <v>1022</v>
      </c>
      <c r="C1763" s="81">
        <v>108</v>
      </c>
    </row>
    <row r="1764" spans="1:3" x14ac:dyDescent="0.2">
      <c r="A1764" s="90" t="s">
        <v>513</v>
      </c>
      <c r="B1764" s="74" t="s">
        <v>1023</v>
      </c>
      <c r="C1764" s="81">
        <v>108</v>
      </c>
    </row>
    <row r="1765" spans="1:3" x14ac:dyDescent="0.2">
      <c r="A1765" s="90" t="s">
        <v>513</v>
      </c>
      <c r="B1765" s="74" t="s">
        <v>1023</v>
      </c>
      <c r="C1765" s="81">
        <v>108</v>
      </c>
    </row>
    <row r="1766" spans="1:3" x14ac:dyDescent="0.2">
      <c r="A1766" s="90" t="s">
        <v>513</v>
      </c>
      <c r="B1766" s="74" t="s">
        <v>1023</v>
      </c>
      <c r="C1766" s="81">
        <v>108</v>
      </c>
    </row>
    <row r="1767" spans="1:3" x14ac:dyDescent="0.2">
      <c r="A1767" s="90" t="s">
        <v>513</v>
      </c>
      <c r="B1767" s="74" t="s">
        <v>1024</v>
      </c>
      <c r="C1767" s="81">
        <v>315.89999999999998</v>
      </c>
    </row>
    <row r="1768" spans="1:3" x14ac:dyDescent="0.2">
      <c r="A1768" s="90" t="s">
        <v>513</v>
      </c>
      <c r="B1768" s="74" t="s">
        <v>1024</v>
      </c>
      <c r="C1768" s="81">
        <v>315.89999999999998</v>
      </c>
    </row>
    <row r="1769" spans="1:3" x14ac:dyDescent="0.2">
      <c r="A1769" s="90" t="s">
        <v>513</v>
      </c>
      <c r="B1769" s="74" t="s">
        <v>1025</v>
      </c>
      <c r="C1769" s="81">
        <v>178.2</v>
      </c>
    </row>
    <row r="1770" spans="1:3" x14ac:dyDescent="0.2">
      <c r="A1770" s="90" t="s">
        <v>513</v>
      </c>
      <c r="B1770" s="74" t="s">
        <v>1025</v>
      </c>
      <c r="C1770" s="81">
        <v>178.2</v>
      </c>
    </row>
    <row r="1771" spans="1:3" x14ac:dyDescent="0.2">
      <c r="A1771" s="90" t="s">
        <v>513</v>
      </c>
      <c r="B1771" s="74" t="s">
        <v>1025</v>
      </c>
      <c r="C1771" s="81">
        <v>178.2</v>
      </c>
    </row>
    <row r="1772" spans="1:3" x14ac:dyDescent="0.2">
      <c r="A1772" s="90" t="s">
        <v>513</v>
      </c>
      <c r="B1772" s="74" t="s">
        <v>1026</v>
      </c>
      <c r="C1772" s="81">
        <v>253.8</v>
      </c>
    </row>
    <row r="1773" spans="1:3" x14ac:dyDescent="0.2">
      <c r="A1773" s="90" t="s">
        <v>513</v>
      </c>
      <c r="B1773" s="74" t="s">
        <v>1026</v>
      </c>
      <c r="C1773" s="81">
        <v>253.8</v>
      </c>
    </row>
    <row r="1774" spans="1:3" x14ac:dyDescent="0.2">
      <c r="A1774" s="90" t="s">
        <v>513</v>
      </c>
      <c r="B1774" s="74" t="s">
        <v>1027</v>
      </c>
      <c r="C1774" s="81">
        <v>180</v>
      </c>
    </row>
    <row r="1775" spans="1:3" x14ac:dyDescent="0.2">
      <c r="A1775" s="90" t="s">
        <v>513</v>
      </c>
      <c r="B1775" s="74" t="s">
        <v>1027</v>
      </c>
      <c r="C1775" s="81">
        <v>180</v>
      </c>
    </row>
    <row r="1776" spans="1:3" x14ac:dyDescent="0.2">
      <c r="A1776" s="90" t="s">
        <v>513</v>
      </c>
      <c r="B1776" s="74" t="s">
        <v>1027</v>
      </c>
      <c r="C1776" s="81">
        <v>180</v>
      </c>
    </row>
    <row r="1777" spans="1:3" x14ac:dyDescent="0.2">
      <c r="A1777" s="90" t="s">
        <v>513</v>
      </c>
      <c r="B1777" s="74" t="s">
        <v>1028</v>
      </c>
      <c r="C1777" s="81">
        <v>135</v>
      </c>
    </row>
    <row r="1778" spans="1:3" x14ac:dyDescent="0.2">
      <c r="A1778" s="90" t="s">
        <v>513</v>
      </c>
      <c r="B1778" s="74" t="s">
        <v>1028</v>
      </c>
      <c r="C1778" s="81">
        <v>135</v>
      </c>
    </row>
    <row r="1779" spans="1:3" x14ac:dyDescent="0.2">
      <c r="A1779" s="90" t="s">
        <v>513</v>
      </c>
      <c r="B1779" s="74" t="s">
        <v>1029</v>
      </c>
      <c r="C1779" s="81">
        <v>126</v>
      </c>
    </row>
    <row r="1780" spans="1:3" x14ac:dyDescent="0.2">
      <c r="A1780" s="90" t="s">
        <v>513</v>
      </c>
      <c r="B1780" s="74" t="s">
        <v>1030</v>
      </c>
      <c r="C1780" s="81">
        <v>585</v>
      </c>
    </row>
    <row r="1781" spans="1:3" x14ac:dyDescent="0.2">
      <c r="A1781" s="90" t="s">
        <v>513</v>
      </c>
      <c r="B1781" s="74" t="s">
        <v>1030</v>
      </c>
      <c r="C1781" s="81">
        <v>585</v>
      </c>
    </row>
    <row r="1782" spans="1:3" x14ac:dyDescent="0.2">
      <c r="A1782" s="90" t="s">
        <v>513</v>
      </c>
      <c r="B1782" s="74" t="s">
        <v>1031</v>
      </c>
      <c r="C1782" s="81">
        <v>675</v>
      </c>
    </row>
    <row r="1783" spans="1:3" x14ac:dyDescent="0.2">
      <c r="A1783" s="90" t="s">
        <v>513</v>
      </c>
      <c r="B1783" s="74" t="s">
        <v>1031</v>
      </c>
      <c r="C1783" s="81">
        <v>675</v>
      </c>
    </row>
    <row r="1784" spans="1:3" x14ac:dyDescent="0.2">
      <c r="A1784" s="90" t="s">
        <v>513</v>
      </c>
      <c r="B1784" s="74" t="s">
        <v>1031</v>
      </c>
      <c r="C1784" s="81">
        <v>675</v>
      </c>
    </row>
    <row r="1785" spans="1:3" x14ac:dyDescent="0.2">
      <c r="A1785" s="90" t="s">
        <v>513</v>
      </c>
      <c r="B1785" s="74" t="s">
        <v>931</v>
      </c>
      <c r="C1785" s="81">
        <v>108</v>
      </c>
    </row>
    <row r="1786" spans="1:3" x14ac:dyDescent="0.2">
      <c r="A1786" s="90" t="s">
        <v>513</v>
      </c>
      <c r="B1786" s="74" t="s">
        <v>931</v>
      </c>
      <c r="C1786" s="81">
        <v>108</v>
      </c>
    </row>
    <row r="1787" spans="1:3" x14ac:dyDescent="0.2">
      <c r="A1787" s="90" t="s">
        <v>513</v>
      </c>
      <c r="B1787" s="74" t="s">
        <v>931</v>
      </c>
      <c r="C1787" s="81">
        <v>108</v>
      </c>
    </row>
    <row r="1788" spans="1:3" x14ac:dyDescent="0.2">
      <c r="A1788" s="90" t="s">
        <v>513</v>
      </c>
      <c r="B1788" s="74" t="s">
        <v>1032</v>
      </c>
      <c r="C1788" s="81">
        <v>562.5</v>
      </c>
    </row>
    <row r="1789" spans="1:3" x14ac:dyDescent="0.2">
      <c r="A1789" s="90" t="s">
        <v>513</v>
      </c>
      <c r="B1789" s="74" t="s">
        <v>1033</v>
      </c>
      <c r="C1789" s="81">
        <v>706.5</v>
      </c>
    </row>
    <row r="1790" spans="1:3" x14ac:dyDescent="0.2">
      <c r="A1790" s="90" t="s">
        <v>513</v>
      </c>
      <c r="B1790" s="74" t="s">
        <v>1034</v>
      </c>
      <c r="C1790" s="81">
        <v>769.5</v>
      </c>
    </row>
    <row r="1791" spans="1:3" x14ac:dyDescent="0.2">
      <c r="A1791" s="90" t="s">
        <v>513</v>
      </c>
      <c r="B1791" s="74" t="s">
        <v>1035</v>
      </c>
      <c r="C1791" s="81">
        <v>270</v>
      </c>
    </row>
    <row r="1792" spans="1:3" x14ac:dyDescent="0.2">
      <c r="A1792" s="90" t="s">
        <v>513</v>
      </c>
      <c r="B1792" s="74" t="s">
        <v>1036</v>
      </c>
      <c r="C1792" s="81">
        <v>477</v>
      </c>
    </row>
    <row r="1793" spans="1:3" x14ac:dyDescent="0.2">
      <c r="A1793" s="90" t="s">
        <v>513</v>
      </c>
      <c r="B1793" s="74" t="s">
        <v>1037</v>
      </c>
      <c r="C1793" s="81">
        <v>315</v>
      </c>
    </row>
    <row r="1794" spans="1:3" x14ac:dyDescent="0.2">
      <c r="A1794" s="90" t="s">
        <v>513</v>
      </c>
      <c r="B1794" s="74" t="s">
        <v>1038</v>
      </c>
      <c r="C1794" s="81">
        <v>166.5</v>
      </c>
    </row>
    <row r="1795" spans="1:3" x14ac:dyDescent="0.2">
      <c r="A1795" s="90" t="s">
        <v>513</v>
      </c>
      <c r="B1795" s="74" t="s">
        <v>842</v>
      </c>
      <c r="C1795" s="81">
        <v>1453.5</v>
      </c>
    </row>
    <row r="1796" spans="1:3" x14ac:dyDescent="0.2">
      <c r="A1796" s="90" t="s">
        <v>513</v>
      </c>
      <c r="B1796" s="74" t="s">
        <v>1039</v>
      </c>
      <c r="C1796" s="81">
        <v>459</v>
      </c>
    </row>
    <row r="1797" spans="1:3" x14ac:dyDescent="0.2">
      <c r="A1797" s="90" t="s">
        <v>513</v>
      </c>
      <c r="B1797" s="74" t="s">
        <v>1040</v>
      </c>
      <c r="C1797" s="81">
        <v>855</v>
      </c>
    </row>
    <row r="1798" spans="1:3" x14ac:dyDescent="0.2">
      <c r="A1798" s="90" t="s">
        <v>513</v>
      </c>
      <c r="B1798" s="74" t="s">
        <v>1041</v>
      </c>
      <c r="C1798" s="81">
        <v>832.5</v>
      </c>
    </row>
    <row r="1799" spans="1:3" x14ac:dyDescent="0.2">
      <c r="A1799" s="90" t="s">
        <v>513</v>
      </c>
      <c r="B1799" s="74" t="s">
        <v>1042</v>
      </c>
      <c r="C1799" s="81">
        <v>706.5</v>
      </c>
    </row>
    <row r="1800" spans="1:3" x14ac:dyDescent="0.2">
      <c r="A1800" s="90" t="s">
        <v>513</v>
      </c>
      <c r="B1800" s="74" t="s">
        <v>1043</v>
      </c>
      <c r="C1800" s="81">
        <v>837</v>
      </c>
    </row>
    <row r="1801" spans="1:3" x14ac:dyDescent="0.2">
      <c r="A1801" s="90" t="s">
        <v>513</v>
      </c>
      <c r="B1801" s="74" t="s">
        <v>1044</v>
      </c>
      <c r="C1801" s="81">
        <v>252</v>
      </c>
    </row>
    <row r="1802" spans="1:3" x14ac:dyDescent="0.2">
      <c r="A1802" s="90" t="s">
        <v>513</v>
      </c>
      <c r="B1802" s="74" t="s">
        <v>1045</v>
      </c>
      <c r="C1802" s="81">
        <v>333</v>
      </c>
    </row>
    <row r="1803" spans="1:3" x14ac:dyDescent="0.2">
      <c r="A1803" s="90" t="s">
        <v>513</v>
      </c>
      <c r="B1803" s="74" t="s">
        <v>1046</v>
      </c>
      <c r="C1803" s="81">
        <v>423</v>
      </c>
    </row>
    <row r="1804" spans="1:3" x14ac:dyDescent="0.2">
      <c r="A1804" s="90" t="s">
        <v>513</v>
      </c>
      <c r="B1804" s="74" t="s">
        <v>1047</v>
      </c>
      <c r="C1804" s="81">
        <v>270</v>
      </c>
    </row>
    <row r="1805" spans="1:3" x14ac:dyDescent="0.2">
      <c r="A1805" s="90" t="s">
        <v>513</v>
      </c>
      <c r="B1805" s="74" t="s">
        <v>1048</v>
      </c>
      <c r="C1805" s="81">
        <v>351</v>
      </c>
    </row>
    <row r="1806" spans="1:3" x14ac:dyDescent="0.2">
      <c r="A1806" s="90" t="s">
        <v>513</v>
      </c>
      <c r="B1806" s="74" t="s">
        <v>1049</v>
      </c>
      <c r="C1806" s="81">
        <v>337.5</v>
      </c>
    </row>
    <row r="1807" spans="1:3" x14ac:dyDescent="0.2">
      <c r="A1807" s="90" t="s">
        <v>513</v>
      </c>
      <c r="B1807" s="74" t="s">
        <v>1050</v>
      </c>
      <c r="C1807" s="81">
        <v>963</v>
      </c>
    </row>
    <row r="1808" spans="1:3" x14ac:dyDescent="0.2">
      <c r="A1808" s="90" t="s">
        <v>513</v>
      </c>
      <c r="B1808" s="74" t="s">
        <v>1034</v>
      </c>
      <c r="C1808" s="81">
        <v>711</v>
      </c>
    </row>
    <row r="1809" spans="1:3" x14ac:dyDescent="0.2">
      <c r="A1809" s="90" t="s">
        <v>513</v>
      </c>
      <c r="B1809" s="74" t="s">
        <v>1051</v>
      </c>
      <c r="C1809" s="81">
        <v>540</v>
      </c>
    </row>
    <row r="1810" spans="1:3" x14ac:dyDescent="0.2">
      <c r="A1810" s="90" t="s">
        <v>513</v>
      </c>
      <c r="B1810" s="74" t="s">
        <v>813</v>
      </c>
      <c r="C1810" s="81">
        <v>1413</v>
      </c>
    </row>
    <row r="1811" spans="1:3" x14ac:dyDescent="0.2">
      <c r="A1811" s="90" t="s">
        <v>513</v>
      </c>
      <c r="B1811" s="74" t="s">
        <v>1052</v>
      </c>
      <c r="C1811" s="81">
        <v>418.5</v>
      </c>
    </row>
    <row r="1812" spans="1:3" x14ac:dyDescent="0.2">
      <c r="A1812" s="90" t="s">
        <v>513</v>
      </c>
      <c r="B1812" s="74" t="s">
        <v>1053</v>
      </c>
      <c r="C1812" s="81">
        <v>666</v>
      </c>
    </row>
    <row r="1813" spans="1:3" x14ac:dyDescent="0.2">
      <c r="A1813" s="90" t="s">
        <v>513</v>
      </c>
      <c r="B1813" s="74" t="s">
        <v>1054</v>
      </c>
      <c r="C1813" s="81">
        <v>292.5</v>
      </c>
    </row>
    <row r="1814" spans="1:3" x14ac:dyDescent="0.2">
      <c r="A1814" s="90" t="s">
        <v>513</v>
      </c>
      <c r="B1814" s="74" t="s">
        <v>1055</v>
      </c>
      <c r="C1814" s="81">
        <v>396</v>
      </c>
    </row>
    <row r="1815" spans="1:3" x14ac:dyDescent="0.2">
      <c r="A1815" s="90" t="s">
        <v>513</v>
      </c>
      <c r="B1815" s="74" t="s">
        <v>1040</v>
      </c>
      <c r="C1815" s="81">
        <v>1975.5</v>
      </c>
    </row>
    <row r="1816" spans="1:3" x14ac:dyDescent="0.2">
      <c r="A1816" s="90" t="s">
        <v>513</v>
      </c>
      <c r="B1816" s="74" t="s">
        <v>1056</v>
      </c>
      <c r="C1816" s="81">
        <v>837</v>
      </c>
    </row>
    <row r="1817" spans="1:3" x14ac:dyDescent="0.2">
      <c r="A1817" s="90" t="s">
        <v>513</v>
      </c>
      <c r="B1817" s="74" t="s">
        <v>1057</v>
      </c>
      <c r="C1817" s="81">
        <v>629.1</v>
      </c>
    </row>
    <row r="1818" spans="1:3" x14ac:dyDescent="0.2">
      <c r="A1818" s="90" t="s">
        <v>513</v>
      </c>
      <c r="B1818" s="74" t="s">
        <v>860</v>
      </c>
      <c r="C1818" s="81">
        <v>423</v>
      </c>
    </row>
    <row r="1819" spans="1:3" x14ac:dyDescent="0.2">
      <c r="A1819" s="90" t="s">
        <v>513</v>
      </c>
      <c r="B1819" s="74" t="s">
        <v>1058</v>
      </c>
      <c r="C1819" s="81">
        <v>1080</v>
      </c>
    </row>
    <row r="1820" spans="1:3" x14ac:dyDescent="0.2">
      <c r="A1820" s="90" t="s">
        <v>513</v>
      </c>
      <c r="B1820" s="74" t="s">
        <v>1059</v>
      </c>
      <c r="C1820" s="81">
        <v>459</v>
      </c>
    </row>
    <row r="1821" spans="1:3" x14ac:dyDescent="0.2">
      <c r="A1821" s="90" t="s">
        <v>513</v>
      </c>
      <c r="B1821" s="74" t="s">
        <v>1060</v>
      </c>
      <c r="C1821" s="81">
        <v>981</v>
      </c>
    </row>
    <row r="1822" spans="1:3" x14ac:dyDescent="0.2">
      <c r="A1822" s="90" t="s">
        <v>513</v>
      </c>
      <c r="B1822" s="74" t="s">
        <v>1040</v>
      </c>
      <c r="C1822" s="81">
        <v>1395</v>
      </c>
    </row>
    <row r="1823" spans="1:3" x14ac:dyDescent="0.2">
      <c r="A1823" s="90" t="s">
        <v>513</v>
      </c>
      <c r="B1823" s="74" t="s">
        <v>1061</v>
      </c>
      <c r="C1823" s="81">
        <v>801</v>
      </c>
    </row>
    <row r="1824" spans="1:3" x14ac:dyDescent="0.2">
      <c r="A1824" s="90" t="s">
        <v>513</v>
      </c>
      <c r="B1824" s="74" t="s">
        <v>1062</v>
      </c>
      <c r="C1824" s="81">
        <v>1723.5</v>
      </c>
    </row>
    <row r="1825" spans="1:3" x14ac:dyDescent="0.2">
      <c r="A1825" s="90" t="s">
        <v>513</v>
      </c>
      <c r="B1825" s="74" t="s">
        <v>1063</v>
      </c>
      <c r="C1825" s="81">
        <v>895.5</v>
      </c>
    </row>
    <row r="1826" spans="1:3" x14ac:dyDescent="0.2">
      <c r="A1826" s="90" t="s">
        <v>513</v>
      </c>
      <c r="B1826" s="74" t="s">
        <v>1064</v>
      </c>
      <c r="C1826" s="81">
        <v>225</v>
      </c>
    </row>
    <row r="1827" spans="1:3" x14ac:dyDescent="0.2">
      <c r="A1827" s="90" t="s">
        <v>513</v>
      </c>
      <c r="B1827" s="74" t="s">
        <v>1065</v>
      </c>
      <c r="C1827" s="81">
        <v>832.5</v>
      </c>
    </row>
    <row r="1828" spans="1:3" x14ac:dyDescent="0.2">
      <c r="A1828" s="90" t="s">
        <v>513</v>
      </c>
      <c r="B1828" s="74" t="s">
        <v>1066</v>
      </c>
      <c r="C1828" s="81">
        <v>792</v>
      </c>
    </row>
    <row r="1829" spans="1:3" x14ac:dyDescent="0.2">
      <c r="A1829" s="90" t="s">
        <v>513</v>
      </c>
      <c r="B1829" s="74" t="s">
        <v>1067</v>
      </c>
      <c r="C1829" s="81">
        <v>562.5</v>
      </c>
    </row>
    <row r="1830" spans="1:3" x14ac:dyDescent="0.2">
      <c r="A1830" s="90" t="s">
        <v>513</v>
      </c>
      <c r="B1830" s="74" t="s">
        <v>1068</v>
      </c>
      <c r="C1830" s="81">
        <v>629.1</v>
      </c>
    </row>
    <row r="1831" spans="1:3" x14ac:dyDescent="0.2">
      <c r="A1831" s="90" t="s">
        <v>513</v>
      </c>
      <c r="B1831" s="74" t="s">
        <v>1069</v>
      </c>
      <c r="C1831" s="81">
        <v>810</v>
      </c>
    </row>
    <row r="1832" spans="1:3" x14ac:dyDescent="0.2">
      <c r="A1832" s="90" t="s">
        <v>513</v>
      </c>
      <c r="B1832" s="74" t="s">
        <v>1070</v>
      </c>
      <c r="C1832" s="81">
        <v>396</v>
      </c>
    </row>
    <row r="1833" spans="1:3" x14ac:dyDescent="0.2">
      <c r="A1833" s="90" t="s">
        <v>513</v>
      </c>
      <c r="B1833" s="74" t="s">
        <v>1071</v>
      </c>
      <c r="C1833" s="81">
        <v>625.5</v>
      </c>
    </row>
    <row r="1834" spans="1:3" x14ac:dyDescent="0.2">
      <c r="A1834" s="90" t="s">
        <v>513</v>
      </c>
      <c r="B1834" s="74" t="s">
        <v>1072</v>
      </c>
      <c r="C1834" s="81">
        <v>1102.5</v>
      </c>
    </row>
    <row r="1835" spans="1:3" x14ac:dyDescent="0.2">
      <c r="A1835" s="90" t="s">
        <v>513</v>
      </c>
      <c r="B1835" s="74" t="s">
        <v>1073</v>
      </c>
      <c r="C1835" s="81">
        <v>355.5</v>
      </c>
    </row>
    <row r="1836" spans="1:3" x14ac:dyDescent="0.2">
      <c r="A1836" s="90" t="s">
        <v>513</v>
      </c>
      <c r="B1836" s="74" t="s">
        <v>1074</v>
      </c>
      <c r="C1836" s="81">
        <v>625.5</v>
      </c>
    </row>
    <row r="1837" spans="1:3" x14ac:dyDescent="0.2">
      <c r="A1837" s="90" t="s">
        <v>513</v>
      </c>
      <c r="B1837" s="74" t="s">
        <v>1075</v>
      </c>
      <c r="C1837" s="81">
        <v>1251</v>
      </c>
    </row>
    <row r="1838" spans="1:3" x14ac:dyDescent="0.2">
      <c r="A1838" s="90" t="s">
        <v>513</v>
      </c>
      <c r="B1838" s="74" t="s">
        <v>1076</v>
      </c>
      <c r="C1838" s="81">
        <v>1642.5</v>
      </c>
    </row>
    <row r="1839" spans="1:3" x14ac:dyDescent="0.2">
      <c r="A1839" s="90" t="s">
        <v>513</v>
      </c>
      <c r="B1839" s="74" t="s">
        <v>1077</v>
      </c>
      <c r="C1839" s="81">
        <v>252</v>
      </c>
    </row>
    <row r="1840" spans="1:3" x14ac:dyDescent="0.2">
      <c r="A1840" s="90" t="s">
        <v>513</v>
      </c>
      <c r="B1840" s="74" t="s">
        <v>1078</v>
      </c>
      <c r="C1840" s="81">
        <v>1485</v>
      </c>
    </row>
    <row r="1841" spans="1:3" x14ac:dyDescent="0.2">
      <c r="A1841" s="90" t="s">
        <v>513</v>
      </c>
      <c r="B1841" s="74" t="s">
        <v>1079</v>
      </c>
      <c r="C1841" s="81">
        <v>495</v>
      </c>
    </row>
    <row r="1842" spans="1:3" x14ac:dyDescent="0.2">
      <c r="A1842" s="90" t="s">
        <v>513</v>
      </c>
      <c r="B1842" s="74" t="s">
        <v>1080</v>
      </c>
      <c r="C1842" s="81">
        <v>292.5</v>
      </c>
    </row>
    <row r="1843" spans="1:3" x14ac:dyDescent="0.2">
      <c r="A1843" s="90" t="s">
        <v>513</v>
      </c>
      <c r="B1843" s="74" t="s">
        <v>1081</v>
      </c>
      <c r="C1843" s="81">
        <v>522</v>
      </c>
    </row>
    <row r="1844" spans="1:3" x14ac:dyDescent="0.2">
      <c r="A1844" s="90" t="s">
        <v>513</v>
      </c>
      <c r="B1844" s="74" t="s">
        <v>1082</v>
      </c>
      <c r="C1844" s="81">
        <v>522</v>
      </c>
    </row>
    <row r="1845" spans="1:3" x14ac:dyDescent="0.2">
      <c r="A1845" s="90" t="s">
        <v>513</v>
      </c>
      <c r="B1845" s="74" t="s">
        <v>1083</v>
      </c>
      <c r="C1845" s="81">
        <v>855</v>
      </c>
    </row>
    <row r="1846" spans="1:3" x14ac:dyDescent="0.2">
      <c r="A1846" s="90" t="s">
        <v>513</v>
      </c>
      <c r="B1846" s="74" t="s">
        <v>1084</v>
      </c>
      <c r="C1846" s="81">
        <v>315</v>
      </c>
    </row>
    <row r="1847" spans="1:3" x14ac:dyDescent="0.2">
      <c r="A1847" s="90" t="s">
        <v>513</v>
      </c>
      <c r="B1847" s="74" t="s">
        <v>1085</v>
      </c>
      <c r="C1847" s="81">
        <v>459</v>
      </c>
    </row>
    <row r="1848" spans="1:3" x14ac:dyDescent="0.2">
      <c r="A1848" s="90" t="s">
        <v>513</v>
      </c>
      <c r="B1848" s="74" t="s">
        <v>1086</v>
      </c>
      <c r="C1848" s="81">
        <v>427.5</v>
      </c>
    </row>
    <row r="1849" spans="1:3" x14ac:dyDescent="0.2">
      <c r="A1849" s="90" t="s">
        <v>513</v>
      </c>
      <c r="B1849" s="74" t="s">
        <v>1087</v>
      </c>
      <c r="C1849" s="81">
        <v>207</v>
      </c>
    </row>
    <row r="1850" spans="1:3" x14ac:dyDescent="0.2">
      <c r="A1850" s="90" t="s">
        <v>513</v>
      </c>
      <c r="B1850" s="74" t="s">
        <v>1088</v>
      </c>
      <c r="C1850" s="81">
        <v>1350</v>
      </c>
    </row>
    <row r="1851" spans="1:3" x14ac:dyDescent="0.2">
      <c r="A1851" s="90" t="s">
        <v>513</v>
      </c>
      <c r="B1851" s="74" t="s">
        <v>1088</v>
      </c>
      <c r="C1851" s="81">
        <v>1350</v>
      </c>
    </row>
    <row r="1852" spans="1:3" x14ac:dyDescent="0.2">
      <c r="A1852" s="90" t="s">
        <v>513</v>
      </c>
      <c r="B1852" s="74" t="s">
        <v>1088</v>
      </c>
      <c r="C1852" s="81">
        <v>1350</v>
      </c>
    </row>
    <row r="1853" spans="1:3" x14ac:dyDescent="0.2">
      <c r="A1853" s="90" t="s">
        <v>513</v>
      </c>
      <c r="B1853" s="74" t="s">
        <v>1089</v>
      </c>
      <c r="C1853" s="81">
        <v>1575</v>
      </c>
    </row>
    <row r="1854" spans="1:3" x14ac:dyDescent="0.2">
      <c r="A1854" s="90" t="s">
        <v>513</v>
      </c>
      <c r="B1854" s="74" t="s">
        <v>1089</v>
      </c>
      <c r="C1854" s="81">
        <v>1575</v>
      </c>
    </row>
    <row r="1855" spans="1:3" x14ac:dyDescent="0.2">
      <c r="A1855" s="90" t="s">
        <v>513</v>
      </c>
      <c r="B1855" s="74" t="s">
        <v>1089</v>
      </c>
      <c r="C1855" s="81">
        <v>1575</v>
      </c>
    </row>
    <row r="1856" spans="1:3" x14ac:dyDescent="0.2">
      <c r="A1856" s="90" t="s">
        <v>513</v>
      </c>
      <c r="B1856" s="74" t="s">
        <v>1090</v>
      </c>
      <c r="C1856" s="81">
        <v>1125</v>
      </c>
    </row>
    <row r="1857" spans="1:3" x14ac:dyDescent="0.2">
      <c r="A1857" s="90" t="s">
        <v>513</v>
      </c>
      <c r="B1857" s="74" t="s">
        <v>1090</v>
      </c>
      <c r="C1857" s="81">
        <v>1125</v>
      </c>
    </row>
    <row r="1858" spans="1:3" x14ac:dyDescent="0.2">
      <c r="A1858" s="90" t="s">
        <v>513</v>
      </c>
      <c r="B1858" s="74" t="s">
        <v>1090</v>
      </c>
      <c r="C1858" s="81">
        <v>1125</v>
      </c>
    </row>
    <row r="1859" spans="1:3" x14ac:dyDescent="0.2">
      <c r="A1859" s="90" t="s">
        <v>513</v>
      </c>
      <c r="B1859" s="74" t="s">
        <v>1091</v>
      </c>
      <c r="C1859" s="81">
        <v>1350</v>
      </c>
    </row>
    <row r="1860" spans="1:3" x14ac:dyDescent="0.2">
      <c r="A1860" s="90" t="s">
        <v>513</v>
      </c>
      <c r="B1860" s="74" t="s">
        <v>1091</v>
      </c>
      <c r="C1860" s="81">
        <v>1350</v>
      </c>
    </row>
    <row r="1861" spans="1:3" x14ac:dyDescent="0.2">
      <c r="A1861" s="90" t="s">
        <v>513</v>
      </c>
      <c r="B1861" s="74" t="s">
        <v>1091</v>
      </c>
      <c r="C1861" s="81">
        <v>1350</v>
      </c>
    </row>
    <row r="1862" spans="1:3" x14ac:dyDescent="0.2">
      <c r="A1862" s="90" t="s">
        <v>513</v>
      </c>
      <c r="B1862" s="74" t="s">
        <v>1092</v>
      </c>
      <c r="C1862" s="81">
        <v>336.6</v>
      </c>
    </row>
    <row r="1863" spans="1:3" x14ac:dyDescent="0.2">
      <c r="A1863" s="90" t="s">
        <v>513</v>
      </c>
      <c r="B1863" s="74" t="s">
        <v>1092</v>
      </c>
      <c r="C1863" s="81">
        <v>336.6</v>
      </c>
    </row>
    <row r="1864" spans="1:3" x14ac:dyDescent="0.2">
      <c r="A1864" s="90" t="s">
        <v>513</v>
      </c>
      <c r="B1864" s="74" t="s">
        <v>1092</v>
      </c>
      <c r="C1864" s="81">
        <v>336.6</v>
      </c>
    </row>
    <row r="1865" spans="1:3" x14ac:dyDescent="0.2">
      <c r="A1865" s="90" t="s">
        <v>513</v>
      </c>
      <c r="B1865" s="74" t="s">
        <v>1093</v>
      </c>
      <c r="C1865" s="81">
        <v>103.5</v>
      </c>
    </row>
    <row r="1866" spans="1:3" x14ac:dyDescent="0.2">
      <c r="A1866" s="90" t="s">
        <v>513</v>
      </c>
      <c r="B1866" s="74" t="s">
        <v>1093</v>
      </c>
      <c r="C1866" s="81">
        <v>103.5</v>
      </c>
    </row>
    <row r="1867" spans="1:3" x14ac:dyDescent="0.2">
      <c r="A1867" s="90" t="s">
        <v>513</v>
      </c>
      <c r="B1867" s="74" t="s">
        <v>1093</v>
      </c>
      <c r="C1867" s="81">
        <v>103.5</v>
      </c>
    </row>
    <row r="1868" spans="1:3" x14ac:dyDescent="0.2">
      <c r="A1868" s="90" t="s">
        <v>513</v>
      </c>
      <c r="B1868" s="74" t="s">
        <v>1094</v>
      </c>
      <c r="C1868" s="81">
        <v>265.5</v>
      </c>
    </row>
    <row r="1869" spans="1:3" x14ac:dyDescent="0.2">
      <c r="A1869" s="90" t="s">
        <v>513</v>
      </c>
      <c r="B1869" s="74" t="s">
        <v>1094</v>
      </c>
      <c r="C1869" s="81">
        <v>265.5</v>
      </c>
    </row>
    <row r="1870" spans="1:3" x14ac:dyDescent="0.2">
      <c r="A1870" s="90" t="s">
        <v>513</v>
      </c>
      <c r="B1870" s="74" t="s">
        <v>1095</v>
      </c>
      <c r="C1870" s="81">
        <v>180</v>
      </c>
    </row>
    <row r="1871" spans="1:3" x14ac:dyDescent="0.2">
      <c r="A1871" s="90" t="s">
        <v>513</v>
      </c>
      <c r="B1871" s="74" t="s">
        <v>1095</v>
      </c>
      <c r="C1871" s="81">
        <v>180</v>
      </c>
    </row>
    <row r="1872" spans="1:3" x14ac:dyDescent="0.2">
      <c r="A1872" s="90" t="s">
        <v>513</v>
      </c>
      <c r="B1872" s="74" t="s">
        <v>1095</v>
      </c>
      <c r="C1872" s="81">
        <v>180</v>
      </c>
    </row>
    <row r="1873" spans="1:3" x14ac:dyDescent="0.2">
      <c r="A1873" s="90" t="s">
        <v>513</v>
      </c>
      <c r="B1873" s="74" t="s">
        <v>1096</v>
      </c>
      <c r="C1873" s="81">
        <v>180</v>
      </c>
    </row>
    <row r="1874" spans="1:3" x14ac:dyDescent="0.2">
      <c r="A1874" s="90" t="s">
        <v>513</v>
      </c>
      <c r="B1874" s="74" t="s">
        <v>1096</v>
      </c>
      <c r="C1874" s="81">
        <v>180</v>
      </c>
    </row>
    <row r="1875" spans="1:3" x14ac:dyDescent="0.2">
      <c r="A1875" s="90" t="s">
        <v>513</v>
      </c>
      <c r="B1875" s="74" t="s">
        <v>1096</v>
      </c>
      <c r="C1875" s="81">
        <v>180</v>
      </c>
    </row>
    <row r="1876" spans="1:3" x14ac:dyDescent="0.2">
      <c r="A1876" s="90" t="s">
        <v>513</v>
      </c>
      <c r="B1876" s="74" t="s">
        <v>1097</v>
      </c>
      <c r="C1876" s="81">
        <v>180</v>
      </c>
    </row>
    <row r="1877" spans="1:3" x14ac:dyDescent="0.2">
      <c r="A1877" s="90" t="s">
        <v>513</v>
      </c>
      <c r="B1877" s="74" t="s">
        <v>1097</v>
      </c>
      <c r="C1877" s="81">
        <v>180</v>
      </c>
    </row>
    <row r="1878" spans="1:3" x14ac:dyDescent="0.2">
      <c r="A1878" s="90" t="s">
        <v>513</v>
      </c>
      <c r="B1878" s="74" t="s">
        <v>1097</v>
      </c>
      <c r="C1878" s="81">
        <v>180</v>
      </c>
    </row>
    <row r="1879" spans="1:3" x14ac:dyDescent="0.2">
      <c r="A1879" s="90" t="s">
        <v>513</v>
      </c>
      <c r="B1879" s="74" t="s">
        <v>779</v>
      </c>
      <c r="C1879" s="81">
        <v>1125</v>
      </c>
    </row>
    <row r="1880" spans="1:3" x14ac:dyDescent="0.2">
      <c r="A1880" s="90" t="s">
        <v>513</v>
      </c>
      <c r="B1880" s="74" t="s">
        <v>779</v>
      </c>
      <c r="C1880" s="81">
        <v>1125</v>
      </c>
    </row>
    <row r="1881" spans="1:3" x14ac:dyDescent="0.2">
      <c r="A1881" s="90" t="s">
        <v>513</v>
      </c>
      <c r="B1881" s="74" t="s">
        <v>1098</v>
      </c>
      <c r="C1881" s="81">
        <f>100-10</f>
        <v>90</v>
      </c>
    </row>
    <row r="1882" spans="1:3" x14ac:dyDescent="0.2">
      <c r="A1882" s="90" t="s">
        <v>513</v>
      </c>
      <c r="B1882" s="74" t="s">
        <v>1098</v>
      </c>
      <c r="C1882" s="81">
        <v>90</v>
      </c>
    </row>
    <row r="1883" spans="1:3" x14ac:dyDescent="0.2">
      <c r="A1883" s="90" t="s">
        <v>513</v>
      </c>
      <c r="B1883" s="74" t="s">
        <v>1098</v>
      </c>
      <c r="C1883" s="81">
        <v>90</v>
      </c>
    </row>
    <row r="1884" spans="1:3" x14ac:dyDescent="0.2">
      <c r="A1884" s="90" t="s">
        <v>513</v>
      </c>
      <c r="B1884" s="74" t="s">
        <v>1099</v>
      </c>
      <c r="C1884" s="81">
        <v>309.60000000000002</v>
      </c>
    </row>
    <row r="1885" spans="1:3" x14ac:dyDescent="0.2">
      <c r="A1885" s="90" t="s">
        <v>513</v>
      </c>
      <c r="B1885" s="74" t="s">
        <v>1099</v>
      </c>
      <c r="C1885" s="81">
        <f>344-34.4</f>
        <v>309.60000000000002</v>
      </c>
    </row>
    <row r="1886" spans="1:3" x14ac:dyDescent="0.2">
      <c r="A1886" s="90" t="s">
        <v>513</v>
      </c>
      <c r="B1886" s="74" t="s">
        <v>1099</v>
      </c>
      <c r="C1886" s="81">
        <v>309.60000000000002</v>
      </c>
    </row>
    <row r="1887" spans="1:3" x14ac:dyDescent="0.2">
      <c r="A1887" s="90" t="s">
        <v>513</v>
      </c>
      <c r="B1887" s="74" t="s">
        <v>1099</v>
      </c>
      <c r="C1887" s="81">
        <v>309.60000000000002</v>
      </c>
    </row>
    <row r="1888" spans="1:3" x14ac:dyDescent="0.2">
      <c r="A1888" s="90" t="s">
        <v>513</v>
      </c>
      <c r="B1888" s="74" t="s">
        <v>1100</v>
      </c>
      <c r="C1888" s="81">
        <v>291.60000000000002</v>
      </c>
    </row>
    <row r="1889" spans="1:3" x14ac:dyDescent="0.2">
      <c r="A1889" s="90" t="s">
        <v>513</v>
      </c>
      <c r="B1889" s="74" t="s">
        <v>1100</v>
      </c>
      <c r="C1889" s="81">
        <f>324-32.4</f>
        <v>291.60000000000002</v>
      </c>
    </row>
    <row r="1890" spans="1:3" x14ac:dyDescent="0.2">
      <c r="A1890" s="90" t="s">
        <v>513</v>
      </c>
      <c r="B1890" s="74" t="s">
        <v>1100</v>
      </c>
      <c r="C1890" s="81">
        <v>291.60000000000002</v>
      </c>
    </row>
    <row r="1891" spans="1:3" x14ac:dyDescent="0.2">
      <c r="A1891" s="90" t="s">
        <v>513</v>
      </c>
      <c r="B1891" s="74" t="s">
        <v>1101</v>
      </c>
      <c r="C1891" s="81">
        <v>252</v>
      </c>
    </row>
    <row r="1892" spans="1:3" x14ac:dyDescent="0.2">
      <c r="A1892" s="90" t="s">
        <v>513</v>
      </c>
      <c r="B1892" s="74" t="s">
        <v>1101</v>
      </c>
      <c r="C1892" s="81">
        <f>280-28</f>
        <v>252</v>
      </c>
    </row>
    <row r="1893" spans="1:3" x14ac:dyDescent="0.2">
      <c r="A1893" s="90" t="s">
        <v>513</v>
      </c>
      <c r="B1893" s="74" t="s">
        <v>1101</v>
      </c>
      <c r="C1893" s="81">
        <v>252</v>
      </c>
    </row>
    <row r="1894" spans="1:3" x14ac:dyDescent="0.2">
      <c r="A1894" s="90" t="s">
        <v>513</v>
      </c>
      <c r="B1894" s="74" t="s">
        <v>1098</v>
      </c>
      <c r="C1894" s="81">
        <v>202.5</v>
      </c>
    </row>
    <row r="1895" spans="1:3" x14ac:dyDescent="0.2">
      <c r="A1895" s="90" t="s">
        <v>513</v>
      </c>
      <c r="B1895" s="74" t="s">
        <v>1098</v>
      </c>
      <c r="C1895" s="81">
        <f>225-22.5</f>
        <v>202.5</v>
      </c>
    </row>
    <row r="1896" spans="1:3" x14ac:dyDescent="0.2">
      <c r="A1896" s="90" t="s">
        <v>513</v>
      </c>
      <c r="B1896" s="74" t="s">
        <v>1098</v>
      </c>
      <c r="C1896" s="81">
        <v>202.5</v>
      </c>
    </row>
    <row r="1897" spans="1:3" x14ac:dyDescent="0.2">
      <c r="A1897" s="90" t="s">
        <v>513</v>
      </c>
      <c r="B1897" s="74" t="s">
        <v>1102</v>
      </c>
      <c r="C1897" s="81">
        <v>341.1</v>
      </c>
    </row>
    <row r="1898" spans="1:3" x14ac:dyDescent="0.2">
      <c r="A1898" s="90" t="s">
        <v>513</v>
      </c>
      <c r="B1898" s="74" t="s">
        <v>1102</v>
      </c>
      <c r="C1898" s="81">
        <f>379-37.9</f>
        <v>341.1</v>
      </c>
    </row>
    <row r="1899" spans="1:3" x14ac:dyDescent="0.2">
      <c r="A1899" s="90" t="s">
        <v>513</v>
      </c>
      <c r="B1899" s="74" t="s">
        <v>1102</v>
      </c>
      <c r="C1899" s="81">
        <v>341.1</v>
      </c>
    </row>
    <row r="1900" spans="1:3" x14ac:dyDescent="0.2">
      <c r="A1900" s="90" t="s">
        <v>513</v>
      </c>
      <c r="B1900" s="74" t="s">
        <v>585</v>
      </c>
      <c r="C1900" s="81">
        <v>171</v>
      </c>
    </row>
    <row r="1901" spans="1:3" x14ac:dyDescent="0.2">
      <c r="A1901" s="90" t="s">
        <v>513</v>
      </c>
      <c r="B1901" s="74" t="s">
        <v>585</v>
      </c>
      <c r="C1901" s="81">
        <f>190-19</f>
        <v>171</v>
      </c>
    </row>
    <row r="1902" spans="1:3" x14ac:dyDescent="0.2">
      <c r="A1902" s="90" t="s">
        <v>513</v>
      </c>
      <c r="B1902" s="74" t="s">
        <v>585</v>
      </c>
      <c r="C1902" s="81">
        <v>171</v>
      </c>
    </row>
    <row r="1903" spans="1:3" x14ac:dyDescent="0.2">
      <c r="A1903" s="90" t="s">
        <v>513</v>
      </c>
      <c r="B1903" s="74" t="s">
        <v>586</v>
      </c>
      <c r="C1903" s="81">
        <v>153</v>
      </c>
    </row>
    <row r="1904" spans="1:3" x14ac:dyDescent="0.2">
      <c r="A1904" s="90" t="s">
        <v>513</v>
      </c>
      <c r="B1904" s="74" t="s">
        <v>586</v>
      </c>
      <c r="C1904" s="81">
        <f>170-17</f>
        <v>153</v>
      </c>
    </row>
    <row r="1905" spans="1:3" x14ac:dyDescent="0.2">
      <c r="A1905" s="90" t="s">
        <v>513</v>
      </c>
      <c r="B1905" s="74" t="s">
        <v>586</v>
      </c>
      <c r="C1905" s="81">
        <f>170-17</f>
        <v>153</v>
      </c>
    </row>
    <row r="1906" spans="1:3" x14ac:dyDescent="0.2">
      <c r="A1906" s="90" t="s">
        <v>513</v>
      </c>
      <c r="B1906" s="74" t="s">
        <v>1103</v>
      </c>
      <c r="C1906" s="81">
        <v>160.19999999999999</v>
      </c>
    </row>
    <row r="1907" spans="1:3" x14ac:dyDescent="0.2">
      <c r="A1907" s="90" t="s">
        <v>513</v>
      </c>
      <c r="B1907" s="74" t="s">
        <v>1103</v>
      </c>
      <c r="C1907" s="81">
        <f>178-17.8</f>
        <v>160.19999999999999</v>
      </c>
    </row>
    <row r="1908" spans="1:3" x14ac:dyDescent="0.2">
      <c r="A1908" s="90" t="s">
        <v>513</v>
      </c>
      <c r="B1908" s="74" t="s">
        <v>1103</v>
      </c>
      <c r="C1908" s="81">
        <v>160.19999999999999</v>
      </c>
    </row>
    <row r="1909" spans="1:3" x14ac:dyDescent="0.2">
      <c r="A1909" s="90" t="s">
        <v>513</v>
      </c>
      <c r="B1909" s="74" t="s">
        <v>987</v>
      </c>
      <c r="C1909" s="81">
        <v>287.10000000000002</v>
      </c>
    </row>
    <row r="1910" spans="1:3" x14ac:dyDescent="0.2">
      <c r="A1910" s="90" t="s">
        <v>513</v>
      </c>
      <c r="B1910" s="74" t="s">
        <v>987</v>
      </c>
      <c r="C1910" s="81">
        <f>319-31.9</f>
        <v>287.10000000000002</v>
      </c>
    </row>
    <row r="1911" spans="1:3" x14ac:dyDescent="0.2">
      <c r="A1911" s="90" t="s">
        <v>513</v>
      </c>
      <c r="B1911" s="74" t="s">
        <v>987</v>
      </c>
      <c r="C1911" s="81">
        <v>287.10000000000002</v>
      </c>
    </row>
    <row r="1912" spans="1:3" x14ac:dyDescent="0.2">
      <c r="A1912" s="90" t="s">
        <v>513</v>
      </c>
      <c r="B1912" s="74" t="s">
        <v>1104</v>
      </c>
      <c r="C1912" s="81">
        <v>314.10000000000002</v>
      </c>
    </row>
    <row r="1913" spans="1:3" x14ac:dyDescent="0.2">
      <c r="A1913" s="90" t="s">
        <v>513</v>
      </c>
      <c r="B1913" s="74" t="s">
        <v>1104</v>
      </c>
      <c r="C1913" s="81">
        <f>349-34.9</f>
        <v>314.10000000000002</v>
      </c>
    </row>
    <row r="1914" spans="1:3" x14ac:dyDescent="0.2">
      <c r="A1914" s="90" t="s">
        <v>513</v>
      </c>
      <c r="B1914" s="74" t="s">
        <v>1105</v>
      </c>
      <c r="C1914" s="81">
        <v>11257</v>
      </c>
    </row>
    <row r="1915" spans="1:3" x14ac:dyDescent="0.2">
      <c r="A1915" s="90" t="s">
        <v>513</v>
      </c>
      <c r="B1915" s="74" t="s">
        <v>1106</v>
      </c>
      <c r="C1915" s="81">
        <v>2212.5</v>
      </c>
    </row>
    <row r="1916" spans="1:3" x14ac:dyDescent="0.2">
      <c r="A1916" s="90" t="s">
        <v>513</v>
      </c>
      <c r="B1916" s="74" t="s">
        <v>1106</v>
      </c>
      <c r="C1916" s="81">
        <v>2212.5</v>
      </c>
    </row>
    <row r="1917" spans="1:3" ht="25.5" x14ac:dyDescent="0.2">
      <c r="A1917" s="90" t="s">
        <v>513</v>
      </c>
      <c r="B1917" s="74" t="s">
        <v>1107</v>
      </c>
      <c r="C1917" s="81">
        <v>34980</v>
      </c>
    </row>
    <row r="1918" spans="1:3" ht="76.5" x14ac:dyDescent="0.2">
      <c r="A1918" s="90" t="s">
        <v>513</v>
      </c>
      <c r="B1918" s="74" t="s">
        <v>1108</v>
      </c>
      <c r="C1918" s="81">
        <f>38000*1.16</f>
        <v>44080</v>
      </c>
    </row>
    <row r="1919" spans="1:3" ht="15.95" customHeight="1" x14ac:dyDescent="0.2">
      <c r="A1919" s="90" t="s">
        <v>513</v>
      </c>
      <c r="B1919" s="74" t="s">
        <v>1109</v>
      </c>
      <c r="C1919" s="81">
        <f>118994.25*4</f>
        <v>475977</v>
      </c>
    </row>
    <row r="1920" spans="1:3" x14ac:dyDescent="0.2">
      <c r="A1920" s="90" t="s">
        <v>513</v>
      </c>
      <c r="B1920" s="74" t="s">
        <v>1110</v>
      </c>
      <c r="C1920" s="81">
        <f>210264.89*1.16</f>
        <v>243907.27239999999</v>
      </c>
    </row>
    <row r="1921" spans="1:3" x14ac:dyDescent="0.2">
      <c r="A1921" s="90" t="s">
        <v>513</v>
      </c>
      <c r="B1921" s="74" t="s">
        <v>1111</v>
      </c>
      <c r="C1921" s="81">
        <f>210264.89*1.16</f>
        <v>243907.27239999999</v>
      </c>
    </row>
    <row r="1922" spans="1:3" x14ac:dyDescent="0.2">
      <c r="A1922" s="90" t="s">
        <v>513</v>
      </c>
      <c r="B1922" s="74" t="s">
        <v>1112</v>
      </c>
      <c r="C1922" s="81">
        <v>293907.33</v>
      </c>
    </row>
    <row r="1923" spans="1:3" x14ac:dyDescent="0.2">
      <c r="A1923" s="90" t="s">
        <v>513</v>
      </c>
      <c r="B1923" s="74" t="s">
        <v>1112</v>
      </c>
      <c r="C1923" s="81">
        <v>293907.32</v>
      </c>
    </row>
    <row r="1924" spans="1:3" ht="51" x14ac:dyDescent="0.2">
      <c r="A1924" s="90" t="s">
        <v>513</v>
      </c>
      <c r="B1924" s="74" t="s">
        <v>1113</v>
      </c>
      <c r="C1924" s="81">
        <v>98789</v>
      </c>
    </row>
    <row r="1925" spans="1:3" ht="63.75" x14ac:dyDescent="0.2">
      <c r="A1925" s="90" t="s">
        <v>513</v>
      </c>
      <c r="B1925" s="74" t="s">
        <v>1114</v>
      </c>
      <c r="C1925" s="81">
        <v>75600</v>
      </c>
    </row>
    <row r="1926" spans="1:3" ht="409.5" x14ac:dyDescent="0.2">
      <c r="A1926" s="90" t="s">
        <v>513</v>
      </c>
      <c r="B1926" s="74" t="s">
        <v>1115</v>
      </c>
      <c r="C1926" s="81">
        <v>506000</v>
      </c>
    </row>
    <row r="1927" spans="1:3" ht="228" customHeight="1" x14ac:dyDescent="0.2">
      <c r="A1927" s="73"/>
      <c r="B1927" s="74" t="s">
        <v>1116</v>
      </c>
      <c r="C1927" s="81">
        <v>98000</v>
      </c>
    </row>
    <row r="1928" spans="1:3" ht="188.25" customHeight="1" x14ac:dyDescent="0.2">
      <c r="A1928" s="90" t="s">
        <v>513</v>
      </c>
      <c r="B1928" s="74" t="s">
        <v>1117</v>
      </c>
      <c r="C1928" s="81">
        <v>149000</v>
      </c>
    </row>
    <row r="1929" spans="1:3" ht="25.5" x14ac:dyDescent="0.2">
      <c r="A1929" s="90" t="s">
        <v>513</v>
      </c>
      <c r="B1929" s="74" t="s">
        <v>1118</v>
      </c>
      <c r="C1929" s="81">
        <v>54561</v>
      </c>
    </row>
    <row r="1930" spans="1:3" ht="13.5" thickBot="1" x14ac:dyDescent="0.25">
      <c r="A1930" s="63"/>
      <c r="B1930" s="64"/>
      <c r="C1930" s="64"/>
    </row>
    <row r="1931" spans="1:3" ht="17.25" customHeight="1" x14ac:dyDescent="0.2">
      <c r="A1931" s="65"/>
      <c r="B1931" s="65"/>
      <c r="C1931" s="65"/>
    </row>
    <row r="1933" spans="1:3" x14ac:dyDescent="0.2">
      <c r="B1933" s="54"/>
      <c r="C1933" s="54"/>
    </row>
    <row r="1934" spans="1:3" x14ac:dyDescent="0.2">
      <c r="B1934" s="54"/>
      <c r="C1934" s="54"/>
    </row>
    <row r="1935" spans="1:3" x14ac:dyDescent="0.2">
      <c r="B1935" s="54"/>
      <c r="C1935" s="54"/>
    </row>
    <row r="1936" spans="1:3" x14ac:dyDescent="0.2">
      <c r="A1936" s="66"/>
    </row>
    <row r="1937" spans="1:3" x14ac:dyDescent="0.2">
      <c r="A1937" s="66"/>
    </row>
    <row r="1938" spans="1:3" x14ac:dyDescent="0.2">
      <c r="A1938" s="66"/>
    </row>
    <row r="1939" spans="1:3" x14ac:dyDescent="0.2">
      <c r="A1939" s="66"/>
      <c r="B1939" s="67"/>
    </row>
    <row r="1940" spans="1:3" ht="12.75" customHeight="1" x14ac:dyDescent="0.2">
      <c r="A1940" s="66"/>
      <c r="B1940" s="71"/>
      <c r="C1940" s="71"/>
    </row>
    <row r="1941" spans="1:3" ht="12.75" customHeight="1" x14ac:dyDescent="0.2">
      <c r="B1941" s="71"/>
      <c r="C1941" s="71"/>
    </row>
    <row r="1952" spans="1:3" s="68" customFormat="1" ht="11.25" x14ac:dyDescent="0.2"/>
  </sheetData>
  <printOptions horizontalCentered="1"/>
  <pageMargins left="0.35433070866141736" right="3.937007874015748E-2" top="0.51181102362204722" bottom="0.62992125984251968" header="0" footer="0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12</vt:i4>
      </vt:variant>
    </vt:vector>
  </HeadingPairs>
  <TitlesOfParts>
    <vt:vector size="28" baseType="lpstr">
      <vt:lpstr>Indice</vt:lpstr>
      <vt:lpstr>IG-1-2ifs</vt:lpstr>
      <vt:lpstr>IG-2.</vt:lpstr>
      <vt:lpstr>IG-2 MOB.</vt:lpstr>
      <vt:lpstr>IG-2. PARQUE </vt:lpstr>
      <vt:lpstr>IG-2. MAQ. EQ. ELEC.</vt:lpstr>
      <vt:lpstr>IG-2 B INF.</vt:lpstr>
      <vt:lpstr>IG-2 I. MED.  Y LAB.</vt:lpstr>
      <vt:lpstr>IG-2 edu. recreativo</vt:lpstr>
      <vt:lpstr>IG-2. EQ. DE COCINA</vt:lpstr>
      <vt:lpstr>IG-2 Eq. de admon</vt:lpstr>
      <vt:lpstr>IG-2 Maq. Equip. industrial</vt:lpstr>
      <vt:lpstr>IG-2 herra maq. de herra</vt:lpstr>
      <vt:lpstr>IG-2 Maq y eq. div.</vt:lpstr>
      <vt:lpstr>IG-2 com. y tel </vt:lpstr>
      <vt:lpstr>IG-2. (2)</vt:lpstr>
      <vt:lpstr>'IG-2 B INF.'!Área_de_impresión</vt:lpstr>
      <vt:lpstr>'IG-2 com. y tel '!Área_de_impresión</vt:lpstr>
      <vt:lpstr>'IG-2 edu. recreativo'!Área_de_impresión</vt:lpstr>
      <vt:lpstr>'IG-2 Eq. de admon'!Área_de_impresión</vt:lpstr>
      <vt:lpstr>'IG-2 herra maq. de herra'!Área_de_impresión</vt:lpstr>
      <vt:lpstr>'IG-2 I. MED.  Y LAB.'!Área_de_impresión</vt:lpstr>
      <vt:lpstr>'IG-2 Maq y eq. div.'!Área_de_impresión</vt:lpstr>
      <vt:lpstr>'IG-2 Maq. Equip. industrial'!Área_de_impresión</vt:lpstr>
      <vt:lpstr>'IG-2 MOB.'!Área_de_impresión</vt:lpstr>
      <vt:lpstr>'IG-2. EQ. DE COCINA'!Área_de_impresión</vt:lpstr>
      <vt:lpstr>'IG-2. MAQ. EQ. ELEC.'!Área_de_impresión</vt:lpstr>
      <vt:lpstr>'IG-2. PARQUE '!Área_de_impresión</vt:lpstr>
    </vt:vector>
  </TitlesOfParts>
  <Company>AUDITORIA GENERAL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CONTABILIDAD02</cp:lastModifiedBy>
  <cp:lastPrinted>2022-03-23T19:39:52Z</cp:lastPrinted>
  <dcterms:created xsi:type="dcterms:W3CDTF">2008-11-04T10:53:46Z</dcterms:created>
  <dcterms:modified xsi:type="dcterms:W3CDTF">2022-05-17T15:25:53Z</dcterms:modified>
</cp:coreProperties>
</file>